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emcqu\Documents\Roth conversion paper\"/>
    </mc:Choice>
  </mc:AlternateContent>
  <xr:revisionPtr revIDLastSave="0" documentId="13_ncr:1_{FCD19E82-53A8-4D10-95DB-3A40DF02C130}" xr6:coauthVersionLast="47" xr6:coauthVersionMax="47" xr10:uidLastSave="{00000000-0000-0000-0000-000000000000}"/>
  <bookViews>
    <workbookView xWindow="366" yWindow="366" windowWidth="18756" windowHeight="11892" xr2:uid="{1B208064-977E-4BF9-820D-7A96D4DDCFEE}"/>
  </bookViews>
  <sheets>
    <sheet name="Read me first" sheetId="3" r:id="rId1"/>
    <sheet name="pretax results" sheetId="1" r:id="rId2"/>
    <sheet name="after-tax liquidation value" sheetId="2" r:id="rId3"/>
  </sheets>
  <externalReferences>
    <externalReference r:id="rId4"/>
  </externalReferenc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5" i="1" l="1"/>
  <c r="AL6" i="1"/>
  <c r="AL7" i="1"/>
  <c r="AL8" i="1"/>
  <c r="AL9" i="1"/>
  <c r="AL10" i="1"/>
  <c r="AL11" i="1"/>
  <c r="AL12" i="1"/>
  <c r="AL13" i="1"/>
  <c r="AL14" i="1"/>
  <c r="AL15" i="1"/>
  <c r="AL16" i="1"/>
  <c r="AL17" i="1"/>
  <c r="AL18" i="1"/>
  <c r="AL19" i="1"/>
  <c r="AL20" i="1"/>
  <c r="AL21" i="1"/>
  <c r="AL22" i="1"/>
  <c r="AL23" i="1"/>
  <c r="AL24" i="1"/>
  <c r="AL25" i="1"/>
  <c r="AL26" i="1"/>
  <c r="AL27" i="1"/>
  <c r="AL28" i="1"/>
  <c r="AL29" i="1"/>
  <c r="AL30" i="1"/>
  <c r="AL31" i="1"/>
  <c r="AL4" i="1"/>
  <c r="AL3" i="1"/>
  <c r="AM4" i="1"/>
  <c r="AM5" i="1"/>
  <c r="AM6" i="1"/>
  <c r="AM7" i="1"/>
  <c r="AM8" i="1"/>
  <c r="AM9" i="1"/>
  <c r="AM10" i="1"/>
  <c r="AM11" i="1"/>
  <c r="AM12" i="1"/>
  <c r="AM13" i="1"/>
  <c r="AM14" i="1"/>
  <c r="AM15" i="1"/>
  <c r="AM16" i="1"/>
  <c r="AM17" i="1"/>
  <c r="AM18" i="1"/>
  <c r="AM19" i="1"/>
  <c r="AM20" i="1"/>
  <c r="AM21" i="1"/>
  <c r="AM22" i="1"/>
  <c r="AM23" i="1"/>
  <c r="AM24" i="1"/>
  <c r="AM25" i="1"/>
  <c r="AM26" i="1"/>
  <c r="AM27" i="1"/>
  <c r="AM28" i="1"/>
  <c r="AM29" i="1"/>
  <c r="AM30" i="1"/>
  <c r="AM31" i="1"/>
  <c r="AM3" i="1"/>
  <c r="AN5" i="1"/>
  <c r="AN6" i="1"/>
  <c r="AN7" i="1" s="1"/>
  <c r="AN8" i="1" s="1"/>
  <c r="AN9" i="1" s="1"/>
  <c r="AN10" i="1" s="1"/>
  <c r="AN11" i="1" s="1"/>
  <c r="AN12" i="1" s="1"/>
  <c r="AN13" i="1" s="1"/>
  <c r="AN14" i="1" s="1"/>
  <c r="AN15" i="1" s="1"/>
  <c r="AN16" i="1" s="1"/>
  <c r="AN17" i="1" s="1"/>
  <c r="AN18" i="1" s="1"/>
  <c r="AN19" i="1" s="1"/>
  <c r="AN20" i="1" s="1"/>
  <c r="AN21" i="1" s="1"/>
  <c r="AN22" i="1" s="1"/>
  <c r="AN23" i="1" s="1"/>
  <c r="AN24" i="1" s="1"/>
  <c r="AN25" i="1" s="1"/>
  <c r="AN26" i="1" s="1"/>
  <c r="AN27" i="1" s="1"/>
  <c r="AN28" i="1" s="1"/>
  <c r="AN29" i="1" s="1"/>
  <c r="AN30" i="1" s="1"/>
  <c r="AN31" i="1" s="1"/>
  <c r="AN4" i="1"/>
  <c r="AN3" i="1"/>
  <c r="AJ6" i="1"/>
  <c r="AJ7" i="1"/>
  <c r="AJ8" i="1" s="1"/>
  <c r="AJ9" i="1" s="1"/>
  <c r="AJ10" i="1" s="1"/>
  <c r="AJ11" i="1" s="1"/>
  <c r="AJ12" i="1" s="1"/>
  <c r="AJ13" i="1" s="1"/>
  <c r="AJ14" i="1" s="1"/>
  <c r="AJ15" i="1" s="1"/>
  <c r="AJ16" i="1" s="1"/>
  <c r="AJ17" i="1" s="1"/>
  <c r="AJ18" i="1" s="1"/>
  <c r="AJ19" i="1" s="1"/>
  <c r="AJ20" i="1" s="1"/>
  <c r="AJ21" i="1" s="1"/>
  <c r="AJ22" i="1" s="1"/>
  <c r="AJ23" i="1" s="1"/>
  <c r="AJ24" i="1" s="1"/>
  <c r="AJ25" i="1" s="1"/>
  <c r="AJ26" i="1" s="1"/>
  <c r="AJ27" i="1" s="1"/>
  <c r="AJ28" i="1" s="1"/>
  <c r="AJ29" i="1" s="1"/>
  <c r="AJ30" i="1" s="1"/>
  <c r="AJ31" i="1" s="1"/>
  <c r="AJ5" i="1"/>
  <c r="AJ4" i="1"/>
  <c r="L30" i="2" l="1"/>
  <c r="K30" i="2"/>
  <c r="B30" i="2"/>
  <c r="A30" i="2"/>
  <c r="K29" i="2"/>
  <c r="B29" i="2"/>
  <c r="A29" i="2"/>
  <c r="K28" i="2"/>
  <c r="L28" i="2" s="1"/>
  <c r="B28" i="2"/>
  <c r="A28" i="2"/>
  <c r="K27" i="2"/>
  <c r="B27" i="2"/>
  <c r="A27" i="2"/>
  <c r="L27" i="2" s="1"/>
  <c r="K26" i="2"/>
  <c r="L26" i="2" s="1"/>
  <c r="B26" i="2"/>
  <c r="A26" i="2"/>
  <c r="K25" i="2"/>
  <c r="L25" i="2" s="1"/>
  <c r="B25" i="2"/>
  <c r="A25" i="2"/>
  <c r="K24" i="2"/>
  <c r="B24" i="2"/>
  <c r="A24" i="2"/>
  <c r="K23" i="2"/>
  <c r="L23" i="2" s="1"/>
  <c r="B23" i="2"/>
  <c r="A23" i="2"/>
  <c r="K22" i="2"/>
  <c r="L22" i="2" s="1"/>
  <c r="B22" i="2"/>
  <c r="A22" i="2"/>
  <c r="K21" i="2"/>
  <c r="L21" i="2" s="1"/>
  <c r="B21" i="2"/>
  <c r="A21" i="2"/>
  <c r="K20" i="2"/>
  <c r="B20" i="2"/>
  <c r="A20" i="2"/>
  <c r="K19" i="2"/>
  <c r="B19" i="2"/>
  <c r="A19" i="2"/>
  <c r="L19" i="2" s="1"/>
  <c r="L18" i="2"/>
  <c r="K18" i="2"/>
  <c r="B18" i="2"/>
  <c r="A18" i="2"/>
  <c r="K17" i="2"/>
  <c r="B17" i="2"/>
  <c r="A17" i="2"/>
  <c r="K16" i="2"/>
  <c r="B16" i="2"/>
  <c r="A16" i="2"/>
  <c r="K15" i="2"/>
  <c r="L15" i="2" s="1"/>
  <c r="B15" i="2"/>
  <c r="A15" i="2"/>
  <c r="K14" i="2"/>
  <c r="B14" i="2"/>
  <c r="A14" i="2"/>
  <c r="L14" i="2" s="1"/>
  <c r="K13" i="2"/>
  <c r="L13" i="2" s="1"/>
  <c r="B13" i="2"/>
  <c r="A13" i="2"/>
  <c r="K12" i="2"/>
  <c r="B12" i="2"/>
  <c r="A12" i="2"/>
  <c r="K11" i="2"/>
  <c r="B11" i="2"/>
  <c r="A11" i="2"/>
  <c r="B10" i="2"/>
  <c r="A10" i="2"/>
  <c r="B9" i="2"/>
  <c r="A9" i="2"/>
  <c r="B8" i="2"/>
  <c r="A8" i="2"/>
  <c r="B7" i="2"/>
  <c r="A7" i="2"/>
  <c r="B6" i="2"/>
  <c r="A6" i="2"/>
  <c r="B5" i="2"/>
  <c r="A5" i="2"/>
  <c r="B4" i="2"/>
  <c r="A4" i="2"/>
  <c r="B3" i="2"/>
  <c r="A3" i="2"/>
  <c r="B1" i="2"/>
  <c r="A1" i="2"/>
  <c r="C30" i="2"/>
  <c r="C29" i="2"/>
  <c r="C28" i="2"/>
  <c r="C27" i="2"/>
  <c r="C26" i="2"/>
  <c r="C25" i="2"/>
  <c r="C24" i="2"/>
  <c r="C23" i="2"/>
  <c r="C22" i="2"/>
  <c r="C21" i="2"/>
  <c r="C20" i="2"/>
  <c r="C19" i="2"/>
  <c r="C18" i="2"/>
  <c r="C17" i="2"/>
  <c r="C16" i="2"/>
  <c r="C15" i="2"/>
  <c r="C14" i="2"/>
  <c r="C13" i="2"/>
  <c r="C12" i="2"/>
  <c r="C11" i="2"/>
  <c r="E9" i="1"/>
  <c r="E10" i="1" s="1"/>
  <c r="E11" i="1" s="1"/>
  <c r="E12" i="1" s="1"/>
  <c r="E13" i="1" s="1"/>
  <c r="E14" i="1" s="1"/>
  <c r="E15" i="1" s="1"/>
  <c r="E16" i="1" s="1"/>
  <c r="E17" i="1" s="1"/>
  <c r="E18" i="1" s="1"/>
  <c r="E19" i="1" s="1"/>
  <c r="E20" i="1" s="1"/>
  <c r="E21" i="1" s="1"/>
  <c r="E22" i="1" s="1"/>
  <c r="E23" i="1" s="1"/>
  <c r="E24" i="1" s="1"/>
  <c r="E25" i="1" s="1"/>
  <c r="E26" i="1" s="1"/>
  <c r="E27" i="1" s="1"/>
  <c r="E28" i="1" s="1"/>
  <c r="E29" i="1" s="1"/>
  <c r="E30" i="1" s="1"/>
  <c r="AH8" i="1"/>
  <c r="AH9" i="1" s="1"/>
  <c r="AH10" i="1" s="1"/>
  <c r="AH11" i="1" s="1"/>
  <c r="AH12" i="1" s="1"/>
  <c r="AH13" i="1" s="1"/>
  <c r="AH14" i="1" s="1"/>
  <c r="AH15" i="1" s="1"/>
  <c r="AH16" i="1" s="1"/>
  <c r="AH17" i="1" s="1"/>
  <c r="AH18" i="1" s="1"/>
  <c r="AH19" i="1" s="1"/>
  <c r="AH20" i="1" s="1"/>
  <c r="AH21" i="1" s="1"/>
  <c r="AH22" i="1" s="1"/>
  <c r="AH23" i="1" s="1"/>
  <c r="AH24" i="1" s="1"/>
  <c r="AH25" i="1" s="1"/>
  <c r="AH26" i="1" s="1"/>
  <c r="AH27" i="1" s="1"/>
  <c r="AH28" i="1" s="1"/>
  <c r="AH29" i="1" s="1"/>
  <c r="AH30" i="1" s="1"/>
  <c r="AH31" i="1" s="1"/>
  <c r="X5" i="1"/>
  <c r="X6" i="1" s="1"/>
  <c r="X7" i="1" s="1"/>
  <c r="X8" i="1" s="1"/>
  <c r="X9" i="1" s="1"/>
  <c r="X10" i="1" s="1"/>
  <c r="X11" i="1" s="1"/>
  <c r="X12" i="1" s="1"/>
  <c r="X13" i="1" s="1"/>
  <c r="X14" i="1" s="1"/>
  <c r="X15" i="1" s="1"/>
  <c r="X16" i="1" s="1"/>
  <c r="X17" i="1" s="1"/>
  <c r="X18" i="1" s="1"/>
  <c r="X19" i="1" s="1"/>
  <c r="X20" i="1" s="1"/>
  <c r="X21" i="1" s="1"/>
  <c r="X22" i="1" s="1"/>
  <c r="X23" i="1" s="1"/>
  <c r="X24" i="1" s="1"/>
  <c r="X25" i="1" s="1"/>
  <c r="X26" i="1" s="1"/>
  <c r="X27" i="1" s="1"/>
  <c r="X28" i="1" s="1"/>
  <c r="X29" i="1" s="1"/>
  <c r="X30" i="1" s="1"/>
  <c r="X31" i="1" s="1"/>
  <c r="R5" i="1"/>
  <c r="R6" i="1" s="1"/>
  <c r="R7" i="1" s="1"/>
  <c r="R8" i="1" s="1"/>
  <c r="R9" i="1" s="1"/>
  <c r="R10" i="1" s="1"/>
  <c r="R11" i="1" s="1"/>
  <c r="R12" i="1" s="1"/>
  <c r="R13" i="1" s="1"/>
  <c r="R14" i="1" s="1"/>
  <c r="R15" i="1" s="1"/>
  <c r="R16" i="1" s="1"/>
  <c r="R17" i="1" s="1"/>
  <c r="R18" i="1" s="1"/>
  <c r="R19" i="1" s="1"/>
  <c r="R20" i="1" s="1"/>
  <c r="R21" i="1" s="1"/>
  <c r="R22" i="1" s="1"/>
  <c r="R23" i="1" s="1"/>
  <c r="R24" i="1" s="1"/>
  <c r="R25" i="1" s="1"/>
  <c r="R26" i="1" s="1"/>
  <c r="R27" i="1" s="1"/>
  <c r="R28" i="1" s="1"/>
  <c r="R29" i="1" s="1"/>
  <c r="R30" i="1" s="1"/>
  <c r="R31" i="1" s="1"/>
  <c r="Q5" i="1"/>
  <c r="Q6" i="1" s="1"/>
  <c r="Q7" i="1" s="1"/>
  <c r="Q8" i="1" s="1"/>
  <c r="Q9" i="1" s="1"/>
  <c r="Q10" i="1" s="1"/>
  <c r="Q11" i="1" s="1"/>
  <c r="Q12" i="1" s="1"/>
  <c r="Q13" i="1" s="1"/>
  <c r="Q14" i="1" s="1"/>
  <c r="Q15" i="1" s="1"/>
  <c r="Q16" i="1" s="1"/>
  <c r="Q17" i="1" s="1"/>
  <c r="Q18" i="1" s="1"/>
  <c r="Q19" i="1" s="1"/>
  <c r="Q20" i="1" s="1"/>
  <c r="Q21" i="1" s="1"/>
  <c r="Q22" i="1" s="1"/>
  <c r="Q23" i="1" s="1"/>
  <c r="Q24" i="1" s="1"/>
  <c r="Q25" i="1" s="1"/>
  <c r="Q26" i="1" s="1"/>
  <c r="Q27" i="1" s="1"/>
  <c r="Q28" i="1" s="1"/>
  <c r="Q29" i="1" s="1"/>
  <c r="Q30" i="1" s="1"/>
  <c r="Q31" i="1" s="1"/>
  <c r="AG4" i="1"/>
  <c r="AG5" i="1" s="1"/>
  <c r="AG6" i="1" s="1"/>
  <c r="AG7" i="1" s="1"/>
  <c r="AG8" i="1" s="1"/>
  <c r="AG9" i="1" s="1"/>
  <c r="AG10" i="1" s="1"/>
  <c r="AG11" i="1" s="1"/>
  <c r="AG12" i="1" s="1"/>
  <c r="AG13" i="1" s="1"/>
  <c r="AG14" i="1" s="1"/>
  <c r="AG15" i="1" s="1"/>
  <c r="AG16" i="1" s="1"/>
  <c r="AG17" i="1" s="1"/>
  <c r="AG18" i="1" s="1"/>
  <c r="AG19" i="1" s="1"/>
  <c r="AG20" i="1" s="1"/>
  <c r="AG21" i="1" s="1"/>
  <c r="AG22" i="1" s="1"/>
  <c r="AG23" i="1" s="1"/>
  <c r="AG24" i="1" s="1"/>
  <c r="AG25" i="1" s="1"/>
  <c r="AG26" i="1" s="1"/>
  <c r="AG27" i="1" s="1"/>
  <c r="AG28" i="1" s="1"/>
  <c r="AG29" i="1" s="1"/>
  <c r="AG30" i="1" s="1"/>
  <c r="AG31" i="1" s="1"/>
  <c r="AF4" i="1"/>
  <c r="AF5" i="1" s="1"/>
  <c r="AF6" i="1" s="1"/>
  <c r="AF7" i="1" s="1"/>
  <c r="AF8" i="1" s="1"/>
  <c r="AF9" i="1" s="1"/>
  <c r="AF10" i="1" s="1"/>
  <c r="AF11" i="1" s="1"/>
  <c r="AF12" i="1" s="1"/>
  <c r="AF13" i="1" s="1"/>
  <c r="AF14" i="1" s="1"/>
  <c r="AF15" i="1" s="1"/>
  <c r="AF16" i="1" s="1"/>
  <c r="AF17" i="1" s="1"/>
  <c r="AF18" i="1" s="1"/>
  <c r="AF19" i="1" s="1"/>
  <c r="AF20" i="1" s="1"/>
  <c r="AF21" i="1" s="1"/>
  <c r="AF22" i="1" s="1"/>
  <c r="AF23" i="1" s="1"/>
  <c r="AF24" i="1" s="1"/>
  <c r="AF25" i="1" s="1"/>
  <c r="AF26" i="1" s="1"/>
  <c r="AF27" i="1" s="1"/>
  <c r="AF28" i="1" s="1"/>
  <c r="AF29" i="1" s="1"/>
  <c r="AF30" i="1" s="1"/>
  <c r="AF31" i="1" s="1"/>
  <c r="AE4" i="1"/>
  <c r="AE5" i="1" s="1"/>
  <c r="AE6" i="1" s="1"/>
  <c r="AE7" i="1" s="1"/>
  <c r="AE8" i="1" s="1"/>
  <c r="AE9" i="1" s="1"/>
  <c r="AE10" i="1" s="1"/>
  <c r="AE11" i="1" s="1"/>
  <c r="AE12" i="1" s="1"/>
  <c r="AE13" i="1" s="1"/>
  <c r="AE14" i="1" s="1"/>
  <c r="AE15" i="1" s="1"/>
  <c r="AE16" i="1" s="1"/>
  <c r="AE17" i="1" s="1"/>
  <c r="AE18" i="1" s="1"/>
  <c r="AE19" i="1" s="1"/>
  <c r="AE20" i="1" s="1"/>
  <c r="AE21" i="1" s="1"/>
  <c r="AE22" i="1" s="1"/>
  <c r="AE23" i="1" s="1"/>
  <c r="AE24" i="1" s="1"/>
  <c r="AE25" i="1" s="1"/>
  <c r="AE26" i="1" s="1"/>
  <c r="AE27" i="1" s="1"/>
  <c r="AE28" i="1" s="1"/>
  <c r="AE29" i="1" s="1"/>
  <c r="AE30" i="1" s="1"/>
  <c r="AE31" i="1" s="1"/>
  <c r="AD4" i="1"/>
  <c r="AD5" i="1" s="1"/>
  <c r="AD6" i="1" s="1"/>
  <c r="AD7" i="1" s="1"/>
  <c r="AD8" i="1" s="1"/>
  <c r="AD9" i="1" s="1"/>
  <c r="AD10" i="1" s="1"/>
  <c r="AD11" i="1" s="1"/>
  <c r="AD12" i="1" s="1"/>
  <c r="AD13" i="1" s="1"/>
  <c r="AD14" i="1" s="1"/>
  <c r="AD15" i="1" s="1"/>
  <c r="AD16" i="1" s="1"/>
  <c r="AD17" i="1" s="1"/>
  <c r="AD18" i="1" s="1"/>
  <c r="AD19" i="1" s="1"/>
  <c r="AD20" i="1" s="1"/>
  <c r="AD21" i="1" s="1"/>
  <c r="AD22" i="1" s="1"/>
  <c r="AD23" i="1" s="1"/>
  <c r="AD24" i="1" s="1"/>
  <c r="AD25" i="1" s="1"/>
  <c r="AD26" i="1" s="1"/>
  <c r="AD27" i="1" s="1"/>
  <c r="AD28" i="1" s="1"/>
  <c r="AD29" i="1" s="1"/>
  <c r="AD30" i="1" s="1"/>
  <c r="AD31" i="1" s="1"/>
  <c r="AC4" i="1"/>
  <c r="AC5" i="1" s="1"/>
  <c r="AC6" i="1" s="1"/>
  <c r="AC7" i="1" s="1"/>
  <c r="AC8" i="1" s="1"/>
  <c r="AC9" i="1" s="1"/>
  <c r="AC10" i="1" s="1"/>
  <c r="AC11" i="1" s="1"/>
  <c r="AC12" i="1" s="1"/>
  <c r="AC13" i="1" s="1"/>
  <c r="AC14" i="1" s="1"/>
  <c r="AC15" i="1" s="1"/>
  <c r="AC16" i="1" s="1"/>
  <c r="AC17" i="1" s="1"/>
  <c r="AC18" i="1" s="1"/>
  <c r="AC19" i="1" s="1"/>
  <c r="AC20" i="1" s="1"/>
  <c r="AC21" i="1" s="1"/>
  <c r="AC22" i="1" s="1"/>
  <c r="AC23" i="1" s="1"/>
  <c r="AC24" i="1" s="1"/>
  <c r="AC25" i="1" s="1"/>
  <c r="AC26" i="1" s="1"/>
  <c r="AC27" i="1" s="1"/>
  <c r="AC28" i="1" s="1"/>
  <c r="AC29" i="1" s="1"/>
  <c r="AC30" i="1" s="1"/>
  <c r="AC31" i="1" s="1"/>
  <c r="AB4" i="1"/>
  <c r="AB5" i="1" s="1"/>
  <c r="AB6" i="1" s="1"/>
  <c r="AB7" i="1" s="1"/>
  <c r="AB8" i="1" s="1"/>
  <c r="AB9" i="1" s="1"/>
  <c r="AB10" i="1" s="1"/>
  <c r="AB11" i="1" s="1"/>
  <c r="AB12" i="1" s="1"/>
  <c r="AB13" i="1" s="1"/>
  <c r="AB14" i="1" s="1"/>
  <c r="AB15" i="1" s="1"/>
  <c r="AB16" i="1" s="1"/>
  <c r="AB17" i="1" s="1"/>
  <c r="AB18" i="1" s="1"/>
  <c r="AB19" i="1" s="1"/>
  <c r="AB20" i="1" s="1"/>
  <c r="AB21" i="1" s="1"/>
  <c r="AB22" i="1" s="1"/>
  <c r="AB23" i="1" s="1"/>
  <c r="AB24" i="1" s="1"/>
  <c r="AB25" i="1" s="1"/>
  <c r="AB26" i="1" s="1"/>
  <c r="AB27" i="1" s="1"/>
  <c r="AB28" i="1" s="1"/>
  <c r="AB29" i="1" s="1"/>
  <c r="AB30" i="1" s="1"/>
  <c r="AB31" i="1" s="1"/>
  <c r="AA4" i="1"/>
  <c r="AA5" i="1" s="1"/>
  <c r="AA6" i="1" s="1"/>
  <c r="AA7" i="1" s="1"/>
  <c r="AA8" i="1" s="1"/>
  <c r="AA9" i="1" s="1"/>
  <c r="AA10" i="1" s="1"/>
  <c r="AA11" i="1" s="1"/>
  <c r="AA12" i="1" s="1"/>
  <c r="AA13" i="1" s="1"/>
  <c r="AA14" i="1" s="1"/>
  <c r="AA15" i="1" s="1"/>
  <c r="AA16" i="1" s="1"/>
  <c r="AA17" i="1" s="1"/>
  <c r="AA18" i="1" s="1"/>
  <c r="AA19" i="1" s="1"/>
  <c r="AA20" i="1" s="1"/>
  <c r="AA21" i="1" s="1"/>
  <c r="AA22" i="1" s="1"/>
  <c r="AA23" i="1" s="1"/>
  <c r="AA24" i="1" s="1"/>
  <c r="AA25" i="1" s="1"/>
  <c r="AA26" i="1" s="1"/>
  <c r="AA27" i="1" s="1"/>
  <c r="AA28" i="1" s="1"/>
  <c r="AA29" i="1" s="1"/>
  <c r="AA30" i="1" s="1"/>
  <c r="AA31" i="1" s="1"/>
  <c r="Z4" i="1"/>
  <c r="Z5" i="1" s="1"/>
  <c r="Z6" i="1" s="1"/>
  <c r="Z7" i="1" s="1"/>
  <c r="Z8" i="1" s="1"/>
  <c r="Z9" i="1" s="1"/>
  <c r="Z10" i="1" s="1"/>
  <c r="Z11" i="1" s="1"/>
  <c r="Z12" i="1" s="1"/>
  <c r="Z13" i="1" s="1"/>
  <c r="Z14" i="1" s="1"/>
  <c r="Z15" i="1" s="1"/>
  <c r="Z16" i="1" s="1"/>
  <c r="Z17" i="1" s="1"/>
  <c r="Z18" i="1" s="1"/>
  <c r="Z19" i="1" s="1"/>
  <c r="Z20" i="1" s="1"/>
  <c r="Z21" i="1" s="1"/>
  <c r="Z22" i="1" s="1"/>
  <c r="Z23" i="1" s="1"/>
  <c r="Z24" i="1" s="1"/>
  <c r="Z25" i="1" s="1"/>
  <c r="Z26" i="1" s="1"/>
  <c r="Z27" i="1" s="1"/>
  <c r="Z28" i="1" s="1"/>
  <c r="Z29" i="1" s="1"/>
  <c r="Z30" i="1" s="1"/>
  <c r="Z31" i="1" s="1"/>
  <c r="Y4" i="1"/>
  <c r="Y5" i="1" s="1"/>
  <c r="Y6" i="1" s="1"/>
  <c r="Y7" i="1" s="1"/>
  <c r="Y8" i="1" s="1"/>
  <c r="Y9" i="1" s="1"/>
  <c r="Y10" i="1" s="1"/>
  <c r="Y11" i="1" s="1"/>
  <c r="Y12" i="1" s="1"/>
  <c r="Y13" i="1" s="1"/>
  <c r="Y14" i="1" s="1"/>
  <c r="Y15" i="1" s="1"/>
  <c r="Y16" i="1" s="1"/>
  <c r="Y17" i="1" s="1"/>
  <c r="Y18" i="1" s="1"/>
  <c r="Y19" i="1" s="1"/>
  <c r="Y20" i="1" s="1"/>
  <c r="Y21" i="1" s="1"/>
  <c r="Y22" i="1" s="1"/>
  <c r="Y23" i="1" s="1"/>
  <c r="Y24" i="1" s="1"/>
  <c r="Y25" i="1" s="1"/>
  <c r="Y26" i="1" s="1"/>
  <c r="Y27" i="1" s="1"/>
  <c r="Y28" i="1" s="1"/>
  <c r="Y29" i="1" s="1"/>
  <c r="Y30" i="1" s="1"/>
  <c r="Y31" i="1" s="1"/>
  <c r="X4" i="1"/>
  <c r="R4" i="1"/>
  <c r="Q4" i="1"/>
  <c r="E4" i="1"/>
  <c r="E5" i="1" s="1"/>
  <c r="E6" i="1" s="1"/>
  <c r="E7" i="1" s="1"/>
  <c r="E8" i="1" s="1"/>
  <c r="AJ3" i="1"/>
  <c r="AK3" i="1" s="1"/>
  <c r="AH3" i="1"/>
  <c r="AH4" i="1" s="1"/>
  <c r="AH5" i="1" s="1"/>
  <c r="AH6" i="1" s="1"/>
  <c r="AH7" i="1" s="1"/>
  <c r="P3" i="1"/>
  <c r="P4" i="1" s="1"/>
  <c r="P5" i="1" s="1"/>
  <c r="P6" i="1" s="1"/>
  <c r="P7" i="1" s="1"/>
  <c r="P8" i="1" s="1"/>
  <c r="O3" i="1"/>
  <c r="O4" i="1" s="1"/>
  <c r="O5" i="1" s="1"/>
  <c r="O6" i="1" s="1"/>
  <c r="O7" i="1" s="1"/>
  <c r="O8" i="1" s="1"/>
  <c r="N3" i="1"/>
  <c r="N4" i="1" s="1"/>
  <c r="N5" i="1" s="1"/>
  <c r="N6" i="1" s="1"/>
  <c r="N7" i="1" s="1"/>
  <c r="N8" i="1" s="1"/>
  <c r="N9" i="1" s="1"/>
  <c r="N10" i="1" s="1"/>
  <c r="N11" i="1" s="1"/>
  <c r="N12" i="1" s="1"/>
  <c r="N13" i="1" s="1"/>
  <c r="N14" i="1" s="1"/>
  <c r="N15" i="1" s="1"/>
  <c r="N16" i="1" s="1"/>
  <c r="N17" i="1" s="1"/>
  <c r="N18" i="1" s="1"/>
  <c r="N19" i="1" s="1"/>
  <c r="N20" i="1" s="1"/>
  <c r="N21" i="1" s="1"/>
  <c r="N22" i="1" s="1"/>
  <c r="N23" i="1" s="1"/>
  <c r="N24" i="1" s="1"/>
  <c r="N25" i="1" s="1"/>
  <c r="N26" i="1" s="1"/>
  <c r="N27" i="1" s="1"/>
  <c r="N28" i="1" s="1"/>
  <c r="N29" i="1" s="1"/>
  <c r="N30" i="1" s="1"/>
  <c r="N31" i="1" s="1"/>
  <c r="F3" i="1"/>
  <c r="AI3" i="1" s="1"/>
  <c r="D3" i="1"/>
  <c r="C2" i="1"/>
  <c r="C4" i="1" s="1"/>
  <c r="L29" i="2" l="1"/>
  <c r="L17" i="2"/>
  <c r="L11" i="2"/>
  <c r="O9" i="1"/>
  <c r="S8" i="1"/>
  <c r="T8" i="1"/>
  <c r="I8" i="1" s="1"/>
  <c r="P9" i="1"/>
  <c r="D4" i="1"/>
  <c r="AK4" i="1"/>
  <c r="G3" i="1"/>
  <c r="F4" i="1"/>
  <c r="L12" i="2"/>
  <c r="L16" i="2"/>
  <c r="L20" i="2"/>
  <c r="L24" i="2"/>
  <c r="P10" i="1" l="1"/>
  <c r="P11" i="1" s="1"/>
  <c r="P12" i="1" s="1"/>
  <c r="P13" i="1" s="1"/>
  <c r="P14" i="1" s="1"/>
  <c r="P15" i="1" s="1"/>
  <c r="P16" i="1" s="1"/>
  <c r="P17" i="1" s="1"/>
  <c r="P18" i="1" s="1"/>
  <c r="P19" i="1" s="1"/>
  <c r="P20" i="1" s="1"/>
  <c r="P21" i="1" s="1"/>
  <c r="P22" i="1" s="1"/>
  <c r="P23" i="1" s="1"/>
  <c r="P24" i="1" s="1"/>
  <c r="P25" i="1" s="1"/>
  <c r="P26" i="1" s="1"/>
  <c r="P27" i="1" s="1"/>
  <c r="P28" i="1" s="1"/>
  <c r="P29" i="1" s="1"/>
  <c r="P30" i="1" s="1"/>
  <c r="T9" i="1"/>
  <c r="I9" i="1" s="1"/>
  <c r="G4" i="1"/>
  <c r="F5" i="1" s="1"/>
  <c r="M3" i="1"/>
  <c r="H3" i="1"/>
  <c r="J4" i="1" s="1"/>
  <c r="K4" i="1" s="1"/>
  <c r="O10" i="1"/>
  <c r="O11" i="1" s="1"/>
  <c r="O12" i="1" s="1"/>
  <c r="O13" i="1" s="1"/>
  <c r="O14" i="1" s="1"/>
  <c r="O15" i="1" s="1"/>
  <c r="O16" i="1" s="1"/>
  <c r="O17" i="1" s="1"/>
  <c r="O18" i="1" s="1"/>
  <c r="O19" i="1" s="1"/>
  <c r="O20" i="1" s="1"/>
  <c r="O21" i="1" s="1"/>
  <c r="O22" i="1" s="1"/>
  <c r="O23" i="1" s="1"/>
  <c r="O24" i="1" s="1"/>
  <c r="O25" i="1" s="1"/>
  <c r="O26" i="1" s="1"/>
  <c r="O27" i="1" s="1"/>
  <c r="O28" i="1" s="1"/>
  <c r="O29" i="1" s="1"/>
  <c r="O30" i="1" s="1"/>
  <c r="S9" i="1"/>
  <c r="C5" i="1"/>
  <c r="L5" i="1" l="1"/>
  <c r="AI4" i="1"/>
  <c r="G5" i="1"/>
  <c r="S30" i="1"/>
  <c r="O31" i="1"/>
  <c r="S31" i="1" s="1"/>
  <c r="D5" i="1"/>
  <c r="C6" i="1"/>
  <c r="AK5" i="1"/>
  <c r="H4" i="1"/>
  <c r="J5" i="1" s="1"/>
  <c r="K5" i="1" s="1"/>
  <c r="M4" i="1"/>
  <c r="P31" i="1"/>
  <c r="T31" i="1" s="1"/>
  <c r="T30" i="1"/>
  <c r="I30" i="1" s="1"/>
  <c r="L6" i="1" l="1"/>
  <c r="AI5" i="1"/>
  <c r="H5" i="1"/>
  <c r="J6" i="1"/>
  <c r="K6" i="1" s="1"/>
  <c r="F6" i="1"/>
  <c r="D6" i="1"/>
  <c r="AK6" i="1"/>
  <c r="C7" i="1"/>
  <c r="M5" i="1"/>
  <c r="L7" i="1" l="1"/>
  <c r="G6" i="1"/>
  <c r="F7" i="1"/>
  <c r="M6" i="1"/>
  <c r="D7" i="1"/>
  <c r="AK7" i="1"/>
  <c r="C8" i="1"/>
  <c r="AI6" i="1"/>
  <c r="D8" i="1" l="1"/>
  <c r="C9" i="1"/>
  <c r="AK8" i="1"/>
  <c r="G7" i="1"/>
  <c r="H6" i="1"/>
  <c r="J7" i="1"/>
  <c r="K7" i="1" s="1"/>
  <c r="AI7" i="1" s="1"/>
  <c r="H7" i="1" l="1"/>
  <c r="J8" i="1"/>
  <c r="K8" i="1" s="1"/>
  <c r="F8" i="1"/>
  <c r="M7" i="1"/>
  <c r="AK9" i="1"/>
  <c r="D9" i="1"/>
  <c r="C10" i="1"/>
  <c r="L8" i="1"/>
  <c r="L9" i="1" l="1"/>
  <c r="AK10" i="1"/>
  <c r="D10" i="1"/>
  <c r="G8" i="1"/>
  <c r="AI8" i="1"/>
  <c r="H8" i="1" l="1"/>
  <c r="J9" i="1" s="1"/>
  <c r="K9" i="1" s="1"/>
  <c r="M8" i="1"/>
  <c r="F9" i="1"/>
  <c r="C11" i="1"/>
  <c r="L10" i="1" l="1"/>
  <c r="AK11" i="1"/>
  <c r="D11" i="1"/>
  <c r="C12" i="1" s="1"/>
  <c r="G9" i="1"/>
  <c r="F10" i="1" s="1"/>
  <c r="AI9" i="1"/>
  <c r="G10" i="1" l="1"/>
  <c r="F11" i="1"/>
  <c r="AK12" i="1"/>
  <c r="D12" i="1"/>
  <c r="J10" i="1"/>
  <c r="K10" i="1" s="1"/>
  <c r="H9" i="1"/>
  <c r="M9" i="1"/>
  <c r="L11" i="1" l="1"/>
  <c r="AI10" i="1"/>
  <c r="C13" i="1"/>
  <c r="D11" i="2"/>
  <c r="G11" i="1"/>
  <c r="F12" i="1"/>
  <c r="H10" i="1"/>
  <c r="J11" i="1"/>
  <c r="K11" i="1" s="1"/>
  <c r="M10" i="1"/>
  <c r="F11" i="2" l="1"/>
  <c r="L12" i="1"/>
  <c r="AI11" i="1"/>
  <c r="AK13" i="1"/>
  <c r="D13" i="1"/>
  <c r="D12" i="2"/>
  <c r="G12" i="1"/>
  <c r="F13" i="1"/>
  <c r="H11" i="1"/>
  <c r="J12" i="1"/>
  <c r="K12" i="1" s="1"/>
  <c r="M11" i="1"/>
  <c r="L13" i="1" l="1"/>
  <c r="F12" i="2"/>
  <c r="AI12" i="1"/>
  <c r="D13" i="2"/>
  <c r="G13" i="1"/>
  <c r="C14" i="1"/>
  <c r="H12" i="1"/>
  <c r="J13" i="1" s="1"/>
  <c r="K13" i="1" s="1"/>
  <c r="M12" i="1"/>
  <c r="F13" i="2" l="1"/>
  <c r="L14" i="1"/>
  <c r="AI13" i="1"/>
  <c r="H13" i="1"/>
  <c r="J14" i="1" s="1"/>
  <c r="K14" i="1" s="1"/>
  <c r="M13" i="1"/>
  <c r="F14" i="1"/>
  <c r="AK14" i="1"/>
  <c r="D14" i="1"/>
  <c r="F14" i="2" l="1"/>
  <c r="L15" i="1"/>
  <c r="D14" i="2"/>
  <c r="G14" i="1"/>
  <c r="F15" i="1"/>
  <c r="M14" i="1"/>
  <c r="AI14" i="1"/>
  <c r="C15" i="1"/>
  <c r="D15" i="2" l="1"/>
  <c r="G15" i="1"/>
  <c r="F16" i="1" s="1"/>
  <c r="H14" i="1"/>
  <c r="J15" i="1" s="1"/>
  <c r="K15" i="1" s="1"/>
  <c r="D15" i="1"/>
  <c r="M15" i="1" s="1"/>
  <c r="AK15" i="1"/>
  <c r="F15" i="2" l="1"/>
  <c r="L16" i="1"/>
  <c r="AI15" i="1"/>
  <c r="D16" i="2"/>
  <c r="G16" i="1"/>
  <c r="C16" i="1"/>
  <c r="H15" i="1"/>
  <c r="J16" i="1" s="1"/>
  <c r="K16" i="1" s="1"/>
  <c r="L17" i="1" l="1"/>
  <c r="F16" i="2"/>
  <c r="H16" i="1"/>
  <c r="J17" i="1" s="1"/>
  <c r="K17" i="1" s="1"/>
  <c r="F17" i="1"/>
  <c r="C17" i="1"/>
  <c r="AK16" i="1"/>
  <c r="AI16" i="1"/>
  <c r="D16" i="1"/>
  <c r="M16" i="1" s="1"/>
  <c r="F17" i="2" l="1"/>
  <c r="L18" i="1"/>
  <c r="AK17" i="1"/>
  <c r="AI17" i="1"/>
  <c r="D17" i="1"/>
  <c r="M17" i="1" s="1"/>
  <c r="D17" i="2"/>
  <c r="G17" i="1"/>
  <c r="C18" i="1" l="1"/>
  <c r="H17" i="1"/>
  <c r="J18" i="1" s="1"/>
  <c r="K18" i="1" s="1"/>
  <c r="F18" i="1"/>
  <c r="F18" i="2" l="1"/>
  <c r="L19" i="1"/>
  <c r="D18" i="2"/>
  <c r="G18" i="1"/>
  <c r="C19" i="1"/>
  <c r="AK18" i="1"/>
  <c r="AI18" i="1"/>
  <c r="D18" i="1"/>
  <c r="D19" i="1" l="1"/>
  <c r="AK19" i="1"/>
  <c r="H18" i="1"/>
  <c r="J19" i="1" s="1"/>
  <c r="K19" i="1" s="1"/>
  <c r="F19" i="1"/>
  <c r="M18" i="1"/>
  <c r="L20" i="1" l="1"/>
  <c r="F19" i="2"/>
  <c r="G19" i="1"/>
  <c r="F20" i="1" s="1"/>
  <c r="D19" i="2"/>
  <c r="AI19" i="1"/>
  <c r="M19" i="1"/>
  <c r="C20" i="1"/>
  <c r="D20" i="2" l="1"/>
  <c r="G20" i="1"/>
  <c r="H19" i="1"/>
  <c r="J20" i="1" s="1"/>
  <c r="K20" i="1" s="1"/>
  <c r="C21" i="1"/>
  <c r="AK20" i="1"/>
  <c r="D20" i="1"/>
  <c r="L21" i="1" l="1"/>
  <c r="F20" i="2"/>
  <c r="AI20" i="1"/>
  <c r="D21" i="1"/>
  <c r="C22" i="1" s="1"/>
  <c r="AK21" i="1"/>
  <c r="H20" i="1"/>
  <c r="J21" i="1" s="1"/>
  <c r="K21" i="1" s="1"/>
  <c r="F21" i="1"/>
  <c r="M20" i="1"/>
  <c r="F21" i="2" l="1"/>
  <c r="L22" i="1"/>
  <c r="AI21" i="1"/>
  <c r="C23" i="1"/>
  <c r="D22" i="1"/>
  <c r="AK22" i="1"/>
  <c r="D21" i="2"/>
  <c r="G21" i="1"/>
  <c r="F22" i="1"/>
  <c r="M21" i="1"/>
  <c r="D23" i="1" l="1"/>
  <c r="C24" i="1" s="1"/>
  <c r="AK23" i="1"/>
  <c r="D22" i="2"/>
  <c r="G22" i="1"/>
  <c r="H21" i="1"/>
  <c r="J22" i="1"/>
  <c r="K22" i="1" s="1"/>
  <c r="AK24" i="1" l="1"/>
  <c r="D24" i="1"/>
  <c r="H22" i="1"/>
  <c r="J23" i="1" s="1"/>
  <c r="K23" i="1" s="1"/>
  <c r="F23" i="1"/>
  <c r="F22" i="2"/>
  <c r="L23" i="1"/>
  <c r="AI22" i="1"/>
  <c r="M22" i="1"/>
  <c r="F23" i="2" l="1"/>
  <c r="L24" i="1"/>
  <c r="D23" i="2"/>
  <c r="G23" i="1"/>
  <c r="AI23" i="1"/>
  <c r="C25" i="1"/>
  <c r="H23" i="1" l="1"/>
  <c r="J24" i="1" s="1"/>
  <c r="K24" i="1" s="1"/>
  <c r="M23" i="1"/>
  <c r="F24" i="1"/>
  <c r="D25" i="1"/>
  <c r="AK25" i="1"/>
  <c r="L25" i="1" l="1"/>
  <c r="F24" i="2"/>
  <c r="C26" i="1"/>
  <c r="D24" i="2"/>
  <c r="G24" i="1"/>
  <c r="AI24" i="1"/>
  <c r="H24" i="1" l="1"/>
  <c r="J25" i="1" s="1"/>
  <c r="K25" i="1" s="1"/>
  <c r="M24" i="1"/>
  <c r="F25" i="1"/>
  <c r="AK26" i="1"/>
  <c r="D26" i="1"/>
  <c r="F25" i="2" l="1"/>
  <c r="L26" i="1"/>
  <c r="C27" i="1"/>
  <c r="D25" i="2"/>
  <c r="G25" i="1"/>
  <c r="AI25" i="1"/>
  <c r="H25" i="1" l="1"/>
  <c r="J26" i="1" s="1"/>
  <c r="K26" i="1" s="1"/>
  <c r="M25" i="1"/>
  <c r="F26" i="1"/>
  <c r="AK27" i="1"/>
  <c r="D27" i="1"/>
  <c r="F26" i="2" l="1"/>
  <c r="L27" i="1"/>
  <c r="C28" i="1"/>
  <c r="D26" i="2"/>
  <c r="F27" i="1"/>
  <c r="G26" i="1"/>
  <c r="AI26" i="1"/>
  <c r="G27" i="1" l="1"/>
  <c r="D27" i="2"/>
  <c r="H26" i="1"/>
  <c r="J27" i="1" s="1"/>
  <c r="K27" i="1" s="1"/>
  <c r="M26" i="1"/>
  <c r="C29" i="1"/>
  <c r="AK28" i="1"/>
  <c r="D28" i="1"/>
  <c r="L28" i="1" l="1"/>
  <c r="F27" i="2"/>
  <c r="AI27" i="1"/>
  <c r="D29" i="1"/>
  <c r="C30" i="1" s="1"/>
  <c r="AK29" i="1"/>
  <c r="H27" i="1"/>
  <c r="J28" i="1" s="1"/>
  <c r="K28" i="1" s="1"/>
  <c r="M27" i="1"/>
  <c r="F28" i="1"/>
  <c r="L29" i="1" l="1"/>
  <c r="F28" i="2"/>
  <c r="AK30" i="1"/>
  <c r="D30" i="1"/>
  <c r="D28" i="2"/>
  <c r="G28" i="1"/>
  <c r="AI28" i="1"/>
  <c r="C31" i="1" l="1"/>
  <c r="H28" i="1"/>
  <c r="J29" i="1" s="1"/>
  <c r="K29" i="1" s="1"/>
  <c r="M28" i="1"/>
  <c r="F29" i="1"/>
  <c r="F29" i="2" l="1"/>
  <c r="L30" i="1"/>
  <c r="D29" i="2"/>
  <c r="G29" i="1"/>
  <c r="AI29" i="1"/>
  <c r="AK31" i="1"/>
  <c r="H29" i="1" l="1"/>
  <c r="J30" i="1" s="1"/>
  <c r="K30" i="1" s="1"/>
  <c r="M29" i="1"/>
  <c r="F30" i="1"/>
  <c r="F30" i="2" l="1"/>
  <c r="L31" i="1"/>
  <c r="M31" i="1" s="1"/>
  <c r="D30" i="2"/>
  <c r="G30" i="1"/>
  <c r="F31" i="1" s="1"/>
  <c r="AI30" i="1"/>
  <c r="H30" i="1" l="1"/>
  <c r="M30" i="1"/>
  <c r="K31" i="1"/>
  <c r="AI31" i="1" s="1"/>
</calcChain>
</file>

<file path=xl/sharedStrings.xml><?xml version="1.0" encoding="utf-8"?>
<sst xmlns="http://schemas.openxmlformats.org/spreadsheetml/2006/main" count="60" uniqueCount="59">
  <si>
    <t>RMD divisor</t>
  </si>
  <si>
    <t>Unconverted TDA balance at beginning of year</t>
  </si>
  <si>
    <t>RMD at end of year</t>
  </si>
  <si>
    <t>Social security (taxable)</t>
  </si>
  <si>
    <t>Segregated funds to match converted</t>
  </si>
  <si>
    <t>RMD on segregated funds</t>
  </si>
  <si>
    <t>Tax on segregated fund RMD</t>
  </si>
  <si>
    <t>Additional medicare tax if any</t>
  </si>
  <si>
    <t>Total ETF balance adj for NIIT</t>
  </si>
  <si>
    <t xml:space="preserve">Dividends </t>
  </si>
  <si>
    <t>medicare 1</t>
  </si>
  <si>
    <t>medicare 2</t>
  </si>
  <si>
    <t>medicare 3</t>
  </si>
  <si>
    <t>m4</t>
  </si>
  <si>
    <t>m5</t>
  </si>
  <si>
    <t>add tax med 1-2 rate</t>
  </si>
  <si>
    <t>add tax med 2-3 rate</t>
  </si>
  <si>
    <t>med 3-4 rate</t>
  </si>
  <si>
    <t>med 4-5 rate</t>
  </si>
  <si>
    <t>med 5+ rate</t>
  </si>
  <si>
    <t>tax paid at .22 floor</t>
  </si>
  <si>
    <t>tax paid at 24% floor</t>
  </si>
  <si>
    <t>old 28%</t>
  </si>
  <si>
    <t>old 33%</t>
  </si>
  <si>
    <t>old 39.6%</t>
  </si>
  <si>
    <t>reference 20% cap gains floor</t>
  </si>
  <si>
    <t>No conversion portfolio  value with lagged RMD investment</t>
  </si>
  <si>
    <t>Roth balance</t>
  </si>
  <si>
    <t>With conversion portfolio value</t>
  </si>
  <si>
    <t>Conversion as % of no conversion</t>
  </si>
  <si>
    <t>Conversion surplus or deficit</t>
  </si>
  <si>
    <t>Inflation divisor</t>
  </si>
  <si>
    <t>at 1/3</t>
  </si>
  <si>
    <t>Segregated balance</t>
  </si>
  <si>
    <t>tax on segregated</t>
  </si>
  <si>
    <t>invested RMDs</t>
  </si>
  <si>
    <t>capital gain tax</t>
  </si>
  <si>
    <t>Real Roth advantage life</t>
  </si>
  <si>
    <t>life as % of invested</t>
  </si>
  <si>
    <t>life annualized return</t>
  </si>
  <si>
    <t>life annualized on debit</t>
  </si>
  <si>
    <t>@24% &amp; 32%</t>
  </si>
  <si>
    <t>@.188 &amp; .238 less basis</t>
  </si>
  <si>
    <t>This spreadsheet is a supplement to the paper titled, "When and for Whom Are Roth Conversions Most Beneficial," available at SSRN.com as #3860359.</t>
  </si>
  <si>
    <t>The Appendix to that paper explains the columns and the calculations.  This spreadsheet is unlikely to make much sense or be useful if you haven't read the paper, especially the Appendix.</t>
  </si>
  <si>
    <r>
      <t xml:space="preserve">If you </t>
    </r>
    <r>
      <rPr>
        <i/>
        <sz val="11"/>
        <color theme="1"/>
        <rFont val="Calibri"/>
        <family val="2"/>
        <scheme val="minor"/>
      </rPr>
      <t>have</t>
    </r>
    <r>
      <rPr>
        <sz val="11"/>
        <color theme="1"/>
        <rFont val="Calibri"/>
        <family val="2"/>
        <scheme val="minor"/>
      </rPr>
      <t xml:space="preserve"> read the paper, then the spreadsheet makes it easy to adapt the analysis to your own specific case, inserting different amounts or altering assumptions as desired.</t>
    </r>
  </si>
  <si>
    <t>The paper uses two sets of metrics, one keyed to pretax comparisons and the other to the after-tax results of a lump sum liquidation.  There is one tab for each here.</t>
  </si>
  <si>
    <t>The tabs should be self-explanatory if you have a copy of the paper's Appendix open on screen, and hover the mouse as needed over cells in this spreadsheet.</t>
  </si>
  <si>
    <t>In both tabs, row 2 often contains a return or a tax rate or a starting amount. You can alter these to see the effect.</t>
  </si>
  <si>
    <t>In computing taxes or IRMAA, I assume a married couple fling joint.</t>
  </si>
  <si>
    <t>On the pretax tab, hidden columns N through AH contain projected tax brackets and IRMAA brackets</t>
  </si>
  <si>
    <t>The liquidation analyses often cross tax bracket boundaries. Here the computed tax is pasted as a value; you can try your hand at recreating it using the hidden columns with the projected bracket boundaries. That will give you a feel for how to project future Roth savings under altered assumptions.</t>
  </si>
  <si>
    <t>All the assumptions about rates of return, applicable tax rates, and so forth are developed in the paper.</t>
  </si>
  <si>
    <t>After tax RMD to invest in ETF</t>
  </si>
  <si>
    <t xml:space="preserve">total income </t>
  </si>
  <si>
    <t>Age in 2027</t>
  </si>
  <si>
    <t>Column J in the liquidation tab can be used to compute at-death parallels for columns, K, L, and M. See Appendix in the paper.</t>
  </si>
  <si>
    <t>total no-conversion liquidation after tax</t>
  </si>
  <si>
    <t>Real Roth advantage death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</si>
</sst>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0.0%"/>
  </numFmts>
  <fonts count="2" x14ac:knownFonts="1">
    <font>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applyAlignment="1">
      <alignment wrapText="1"/>
    </xf>
    <xf numFmtId="10" fontId="0" fillId="0" borderId="0" xfId="0" applyNumberFormat="1" applyAlignment="1">
      <alignment wrapText="1"/>
    </xf>
    <xf numFmtId="164" fontId="0" fillId="0" borderId="0" xfId="0" applyNumberFormat="1"/>
    <xf numFmtId="6" fontId="0" fillId="0" borderId="0" xfId="0" applyNumberFormat="1" applyAlignment="1">
      <alignment wrapText="1"/>
    </xf>
    <xf numFmtId="10" fontId="0" fillId="0" borderId="0" xfId="0" applyNumberFormat="1"/>
    <xf numFmtId="4" fontId="0" fillId="0" borderId="0" xfId="0" applyNumberFormat="1"/>
    <xf numFmtId="9" fontId="0" fillId="0" borderId="0" xfId="0" quotePrefix="1" applyNumberFormat="1"/>
    <xf numFmtId="0" fontId="0" fillId="0" borderId="0" xfId="0" quotePrefix="1"/>
    <xf numFmtId="6" fontId="0" fillId="0" borderId="0" xfId="0" applyNumberFormat="1"/>
    <xf numFmtId="0" fontId="0" fillId="2" borderId="0" xfId="0" applyFill="1"/>
    <xf numFmtId="6" fontId="0" fillId="2" borderId="0" xfId="0" applyNumberFormat="1" applyFill="1"/>
    <xf numFmtId="164" fontId="0" fillId="2" borderId="0" xfId="0" applyNumberFormat="1" applyFill="1"/>
    <xf numFmtId="10" fontId="0" fillId="2" borderId="0" xfId="0" applyNumberFormat="1" applyFill="1"/>
    <xf numFmtId="6" fontId="0" fillId="3" borderId="0" xfId="0" applyNumberFormat="1" applyFill="1"/>
    <xf numFmtId="165"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Roth surplus (living)</c:v>
          </c:tx>
          <c:spPr>
            <a:solidFill>
              <a:schemeClr val="accent1"/>
            </a:solidFill>
            <a:ln>
              <a:noFill/>
            </a:ln>
            <a:effectLst/>
          </c:spPr>
          <c:invertIfNegative val="0"/>
          <c:cat>
            <c:numRef>
              <c:f>'after-tax liquidation value'!$B$3:$B$31</c:f>
              <c:numCache>
                <c:formatCode>General</c:formatCode>
                <c:ptCount val="2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numCache>
            </c:numRef>
          </c:cat>
          <c:val>
            <c:numRef>
              <c:f>'lump sum for appendix)'!#REF!</c:f>
              <c:numCache>
                <c:formatCode>General</c:formatCode>
                <c:ptCount val="1"/>
                <c:pt idx="0">
                  <c:v>1</c:v>
                </c:pt>
              </c:numCache>
            </c:numRef>
          </c:val>
          <c:extLst>
            <c:ext xmlns:c16="http://schemas.microsoft.com/office/drawing/2014/chart" uri="{C3380CC4-5D6E-409C-BE32-E72D297353CC}">
              <c16:uniqueId val="{00000000-F890-4A1A-935A-57D77B0A0390}"/>
            </c:ext>
          </c:extLst>
        </c:ser>
        <c:ser>
          <c:idx val="1"/>
          <c:order val="1"/>
          <c:tx>
            <c:v>Roth surplus (at death)</c:v>
          </c:tx>
          <c:spPr>
            <a:solidFill>
              <a:schemeClr val="accent2"/>
            </a:solidFill>
            <a:ln>
              <a:noFill/>
            </a:ln>
            <a:effectLst/>
          </c:spPr>
          <c:invertIfNegative val="0"/>
          <c:cat>
            <c:numRef>
              <c:f>'after-tax liquidation value'!$B$3:$B$31</c:f>
              <c:numCache>
                <c:formatCode>General</c:formatCode>
                <c:ptCount val="2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numCache>
            </c:numRef>
          </c:cat>
          <c:val>
            <c:numRef>
              <c:f>'lump sum for appendix)'!#REF!</c:f>
              <c:numCache>
                <c:formatCode>General</c:formatCode>
                <c:ptCount val="1"/>
                <c:pt idx="0">
                  <c:v>1</c:v>
                </c:pt>
              </c:numCache>
            </c:numRef>
          </c:val>
          <c:extLst>
            <c:ext xmlns:c16="http://schemas.microsoft.com/office/drawing/2014/chart" uri="{C3380CC4-5D6E-409C-BE32-E72D297353CC}">
              <c16:uniqueId val="{00000001-F890-4A1A-935A-57D77B0A0390}"/>
            </c:ext>
          </c:extLst>
        </c:ser>
        <c:dLbls>
          <c:showLegendKey val="0"/>
          <c:showVal val="0"/>
          <c:showCatName val="0"/>
          <c:showSerName val="0"/>
          <c:showPercent val="0"/>
          <c:showBubbleSize val="0"/>
        </c:dLbls>
        <c:gapWidth val="219"/>
        <c:overlap val="-27"/>
        <c:axId val="606952856"/>
        <c:axId val="606950560"/>
      </c:barChart>
      <c:catAx>
        <c:axId val="606952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950560"/>
        <c:crosses val="autoZero"/>
        <c:auto val="1"/>
        <c:lblAlgn val="ctr"/>
        <c:lblOffset val="100"/>
        <c:noMultiLvlLbl val="0"/>
      </c:catAx>
      <c:valAx>
        <c:axId val="606950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9528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28</xdr:col>
      <xdr:colOff>325755</xdr:colOff>
      <xdr:row>5</xdr:row>
      <xdr:rowOff>60960</xdr:rowOff>
    </xdr:from>
    <xdr:to>
      <xdr:col>35</xdr:col>
      <xdr:colOff>417195</xdr:colOff>
      <xdr:row>20</xdr:row>
      <xdr:rowOff>60960</xdr:rowOff>
    </xdr:to>
    <xdr:graphicFrame macro="">
      <xdr:nvGraphicFramePr>
        <xdr:cNvPr id="2" name="Chart 1">
          <a:extLst>
            <a:ext uri="{FF2B5EF4-FFF2-40B4-BE49-F238E27FC236}">
              <a16:creationId xmlns:a16="http://schemas.microsoft.com/office/drawing/2014/main" id="{1F5CEE5A-A62D-46FE-AAD2-7BD1012AEB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se%20medicare%20case%20w%2024%25%20rate%20and%20vol%20dist%20full%20rm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ormatted portfolio growth"/>
      <sheetName val="reformatted tax brackets"/>
      <sheetName val="cht RMD amounts"/>
      <sheetName val="cht RMD amounts (2)"/>
      <sheetName val="cht roth surplus"/>
      <sheetName val="no conversion"/>
      <sheetName val="Roth path"/>
      <sheetName val="withdrawal path"/>
      <sheetName val="Roth tax paid outside"/>
      <sheetName val="no conversion w distributions"/>
      <sheetName val="Roth path w distributions"/>
      <sheetName val="cht tax drag"/>
      <sheetName val="cht tax drag (2)"/>
      <sheetName val="lump sum withdrawal"/>
      <sheetName val="lump sum withdr not Roth"/>
      <sheetName val="lump sum withdr not Roth (2)"/>
      <sheetName val="lump sum tax paid outside"/>
      <sheetName val="lump sum withdr w dist"/>
      <sheetName val="medicare 2021"/>
      <sheetName val="cht marginal rates"/>
      <sheetName val="cht marginal rates (2)"/>
      <sheetName val="cht avg rate"/>
      <sheetName val="medicare for charting"/>
      <sheetName val="vanguard glide path"/>
      <sheetName val="old 33% bracket"/>
      <sheetName val="no conversion for appendix"/>
      <sheetName val="lump sum for appendix)"/>
      <sheetName val="Chart compare pace scale"/>
      <sheetName val="Chart compare pace scale (2)"/>
      <sheetName val="Chart compare pace scale (3)"/>
      <sheetName val="cht compare w percentages"/>
      <sheetName val="for comparative cht"/>
      <sheetName val="average tax rates"/>
      <sheetName val="rmd exhaustion"/>
      <sheetName val="cht maintain real RMD"/>
      <sheetName val="rmd exhaustion (2)"/>
      <sheetName val="rmd exhaustion (3)"/>
      <sheetName val="Sheet1"/>
      <sheetName val="Sheet2"/>
    </sheetNames>
    <sheetDataSet>
      <sheetData sheetId="0"/>
      <sheetData sheetId="1"/>
      <sheetData sheetId="2" refreshError="1"/>
      <sheetData sheetId="3" refreshError="1"/>
      <sheetData sheetId="4" refreshError="1"/>
      <sheetData sheetId="5">
        <row r="1">
          <cell r="A1" t="str">
            <v>year</v>
          </cell>
          <cell r="B1" t="str">
            <v>age</v>
          </cell>
        </row>
        <row r="3">
          <cell r="A3">
            <v>2027</v>
          </cell>
          <cell r="B3">
            <v>72</v>
          </cell>
        </row>
        <row r="4">
          <cell r="A4">
            <v>2028</v>
          </cell>
          <cell r="B4">
            <v>73</v>
          </cell>
        </row>
        <row r="5">
          <cell r="A5">
            <v>2029</v>
          </cell>
          <cell r="B5">
            <v>74</v>
          </cell>
        </row>
        <row r="6">
          <cell r="A6">
            <v>2030</v>
          </cell>
          <cell r="B6">
            <v>75</v>
          </cell>
        </row>
        <row r="7">
          <cell r="A7">
            <v>2031</v>
          </cell>
          <cell r="B7">
            <v>76</v>
          </cell>
        </row>
        <row r="8">
          <cell r="A8">
            <v>2032</v>
          </cell>
          <cell r="B8">
            <v>77</v>
          </cell>
        </row>
        <row r="9">
          <cell r="A9">
            <v>2033</v>
          </cell>
          <cell r="B9">
            <v>78</v>
          </cell>
        </row>
        <row r="10">
          <cell r="A10">
            <v>2034</v>
          </cell>
          <cell r="B10">
            <v>79</v>
          </cell>
        </row>
        <row r="11">
          <cell r="A11">
            <v>2035</v>
          </cell>
          <cell r="B11">
            <v>80</v>
          </cell>
        </row>
        <row r="12">
          <cell r="A12">
            <v>2036</v>
          </cell>
          <cell r="B12">
            <v>81</v>
          </cell>
        </row>
        <row r="13">
          <cell r="A13">
            <v>2037</v>
          </cell>
          <cell r="B13">
            <v>82</v>
          </cell>
        </row>
        <row r="14">
          <cell r="A14">
            <v>2038</v>
          </cell>
          <cell r="B14">
            <v>83</v>
          </cell>
        </row>
        <row r="15">
          <cell r="A15">
            <v>2039</v>
          </cell>
          <cell r="B15">
            <v>84</v>
          </cell>
        </row>
        <row r="16">
          <cell r="A16">
            <v>2040</v>
          </cell>
          <cell r="B16">
            <v>85</v>
          </cell>
        </row>
        <row r="17">
          <cell r="A17">
            <v>2041</v>
          </cell>
          <cell r="B17">
            <v>86</v>
          </cell>
        </row>
        <row r="18">
          <cell r="A18">
            <v>2042</v>
          </cell>
          <cell r="B18">
            <v>87</v>
          </cell>
        </row>
        <row r="19">
          <cell r="A19">
            <v>2043</v>
          </cell>
          <cell r="B19">
            <v>88</v>
          </cell>
        </row>
        <row r="20">
          <cell r="A20">
            <v>2044</v>
          </cell>
          <cell r="B20">
            <v>89</v>
          </cell>
        </row>
        <row r="21">
          <cell r="A21">
            <v>2045</v>
          </cell>
          <cell r="B21">
            <v>90</v>
          </cell>
        </row>
        <row r="22">
          <cell r="A22">
            <v>2046</v>
          </cell>
          <cell r="B22">
            <v>91</v>
          </cell>
        </row>
        <row r="23">
          <cell r="A23">
            <v>2047</v>
          </cell>
          <cell r="B23">
            <v>92</v>
          </cell>
        </row>
        <row r="24">
          <cell r="A24">
            <v>2048</v>
          </cell>
          <cell r="B24">
            <v>93</v>
          </cell>
        </row>
        <row r="25">
          <cell r="A25">
            <v>2049</v>
          </cell>
          <cell r="B25">
            <v>94</v>
          </cell>
        </row>
        <row r="26">
          <cell r="A26">
            <v>2050</v>
          </cell>
          <cell r="B26">
            <v>95</v>
          </cell>
        </row>
        <row r="27">
          <cell r="A27">
            <v>2051</v>
          </cell>
          <cell r="B27">
            <v>96</v>
          </cell>
        </row>
        <row r="28">
          <cell r="A28">
            <v>2052</v>
          </cell>
          <cell r="B28">
            <v>97</v>
          </cell>
        </row>
        <row r="29">
          <cell r="A29">
            <v>2053</v>
          </cell>
          <cell r="B29">
            <v>98</v>
          </cell>
        </row>
        <row r="30">
          <cell r="A30">
            <v>2054</v>
          </cell>
          <cell r="B30">
            <v>99</v>
          </cell>
        </row>
      </sheetData>
      <sheetData sheetId="6"/>
      <sheetData sheetId="7"/>
      <sheetData sheetId="8"/>
      <sheetData sheetId="9"/>
      <sheetData sheetId="10"/>
      <sheetData sheetId="11" refreshError="1"/>
      <sheetData sheetId="12" refreshError="1"/>
      <sheetData sheetId="13"/>
      <sheetData sheetId="14"/>
      <sheetData sheetId="15"/>
      <sheetData sheetId="16"/>
      <sheetData sheetId="17"/>
      <sheetData sheetId="18">
        <row r="17">
          <cell r="L17">
            <v>206831.32113826898</v>
          </cell>
        </row>
        <row r="18">
          <cell r="L18">
            <v>259133.49429967033</v>
          </cell>
        </row>
        <row r="19">
          <cell r="L19">
            <v>323322.52499775379</v>
          </cell>
        </row>
      </sheetData>
      <sheetData sheetId="19" refreshError="1"/>
      <sheetData sheetId="20" refreshError="1"/>
      <sheetData sheetId="21" refreshError="1"/>
      <sheetData sheetId="22"/>
      <sheetData sheetId="23">
        <row r="9">
          <cell r="H9">
            <v>5.1967485000000001E-2</v>
          </cell>
        </row>
      </sheetData>
      <sheetData sheetId="24"/>
      <sheetData sheetId="25"/>
      <sheetData sheetId="26">
        <row r="3">
          <cell r="B3">
            <v>72</v>
          </cell>
        </row>
      </sheetData>
      <sheetData sheetId="27" refreshError="1"/>
      <sheetData sheetId="28" refreshError="1"/>
      <sheetData sheetId="29" refreshError="1"/>
      <sheetData sheetId="30" refreshError="1"/>
      <sheetData sheetId="31"/>
      <sheetData sheetId="32"/>
      <sheetData sheetId="33">
        <row r="2">
          <cell r="B2">
            <v>72</v>
          </cell>
        </row>
      </sheetData>
      <sheetData sheetId="34" refreshError="1"/>
      <sheetData sheetId="35">
        <row r="2">
          <cell r="B2">
            <v>72</v>
          </cell>
        </row>
      </sheetData>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0B524-65E9-40A7-9B8F-E27BCDA85032}">
  <dimension ref="A1:A11"/>
  <sheetViews>
    <sheetView tabSelected="1" workbookViewId="0">
      <selection activeCell="M37" sqref="M37"/>
    </sheetView>
  </sheetViews>
  <sheetFormatPr defaultRowHeight="14.4" x14ac:dyDescent="0.55000000000000004"/>
  <cols>
    <col min="1" max="1" width="56.89453125" style="1" customWidth="1"/>
  </cols>
  <sheetData>
    <row r="1" spans="1:1" ht="43.2" x14ac:dyDescent="0.55000000000000004">
      <c r="A1" s="1" t="s">
        <v>43</v>
      </c>
    </row>
    <row r="2" spans="1:1" ht="43.2" x14ac:dyDescent="0.55000000000000004">
      <c r="A2" s="1" t="s">
        <v>44</v>
      </c>
    </row>
    <row r="3" spans="1:1" ht="43.2" x14ac:dyDescent="0.55000000000000004">
      <c r="A3" s="1" t="s">
        <v>45</v>
      </c>
    </row>
    <row r="4" spans="1:1" ht="43.2" x14ac:dyDescent="0.55000000000000004">
      <c r="A4" s="1" t="s">
        <v>46</v>
      </c>
    </row>
    <row r="5" spans="1:1" ht="43.2" x14ac:dyDescent="0.55000000000000004">
      <c r="A5" s="1" t="s">
        <v>47</v>
      </c>
    </row>
    <row r="6" spans="1:1" ht="28.8" x14ac:dyDescent="0.55000000000000004">
      <c r="A6" s="1" t="s">
        <v>48</v>
      </c>
    </row>
    <row r="7" spans="1:1" x14ac:dyDescent="0.55000000000000004">
      <c r="A7" s="1" t="s">
        <v>49</v>
      </c>
    </row>
    <row r="8" spans="1:1" ht="28.8" x14ac:dyDescent="0.55000000000000004">
      <c r="A8" s="1" t="s">
        <v>50</v>
      </c>
    </row>
    <row r="9" spans="1:1" ht="72" x14ac:dyDescent="0.55000000000000004">
      <c r="A9" s="1" t="s">
        <v>51</v>
      </c>
    </row>
    <row r="10" spans="1:1" ht="28.8" x14ac:dyDescent="0.55000000000000004">
      <c r="A10" s="1" t="s">
        <v>56</v>
      </c>
    </row>
    <row r="11" spans="1:1" ht="28.8" x14ac:dyDescent="0.55000000000000004">
      <c r="A11" s="1" t="s">
        <v>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A5AB8-F570-4434-9D66-F2A16F84A748}">
  <dimension ref="A1:AN31"/>
  <sheetViews>
    <sheetView workbookViewId="0">
      <pane xSplit="1" ySplit="2" topLeftCell="B9" activePane="bottomRight" state="frozen"/>
      <selection activeCell="F35" sqref="F35"/>
      <selection pane="topRight" activeCell="F35" sqref="F35"/>
      <selection pane="bottomLeft" activeCell="F35" sqref="F35"/>
      <selection pane="bottomRight" activeCell="C17" sqref="C17"/>
    </sheetView>
  </sheetViews>
  <sheetFormatPr defaultRowHeight="14.4" x14ac:dyDescent="0.55000000000000004"/>
  <cols>
    <col min="1" max="1" width="6.3671875" customWidth="1"/>
    <col min="2" max="2" width="6.26171875" customWidth="1"/>
    <col min="3" max="3" width="12.1015625" bestFit="1" customWidth="1"/>
    <col min="4" max="4" width="9.62890625" customWidth="1"/>
    <col min="6" max="6" width="11.26171875" customWidth="1"/>
    <col min="7" max="8" width="9.3125" customWidth="1"/>
    <col min="9" max="11" width="9.3125" style="3" customWidth="1"/>
    <col min="12" max="13" width="8.83984375" style="3" customWidth="1"/>
    <col min="14" max="17" width="8.83984375" style="3" hidden="1" customWidth="1"/>
    <col min="18" max="18" width="10.05078125" style="3" hidden="1" customWidth="1"/>
    <col min="19" max="25" width="8.83984375" style="3" hidden="1" customWidth="1"/>
    <col min="26" max="26" width="9.89453125" style="3" hidden="1" customWidth="1"/>
    <col min="27" max="33" width="9.5234375" style="3" hidden="1" customWidth="1"/>
    <col min="34" max="34" width="10.05078125" style="3" hidden="1" customWidth="1"/>
    <col min="35" max="35" width="13.578125" style="3" customWidth="1"/>
    <col min="36" max="36" width="9.62890625" bestFit="1" customWidth="1"/>
    <col min="37" max="37" width="10.47265625" customWidth="1"/>
    <col min="38" max="38" width="9.83984375" customWidth="1"/>
    <col min="39" max="39" width="9.734375" customWidth="1"/>
    <col min="40" max="40" width="7.15625" customWidth="1"/>
  </cols>
  <sheetData>
    <row r="1" spans="1:40" s="1" customFormat="1" ht="74.099999999999994" customHeight="1" x14ac:dyDescent="0.55000000000000004">
      <c r="A1" s="1" t="s">
        <v>55</v>
      </c>
      <c r="B1" s="1" t="s">
        <v>0</v>
      </c>
      <c r="C1" s="1" t="s">
        <v>1</v>
      </c>
      <c r="D1" s="1" t="s">
        <v>2</v>
      </c>
      <c r="E1" s="1" t="s">
        <v>3</v>
      </c>
      <c r="F1" s="1" t="s">
        <v>4</v>
      </c>
      <c r="G1" s="1" t="s">
        <v>5</v>
      </c>
      <c r="H1" s="1" t="s">
        <v>6</v>
      </c>
      <c r="I1" s="1" t="s">
        <v>7</v>
      </c>
      <c r="J1" s="1" t="s">
        <v>53</v>
      </c>
      <c r="K1" s="1" t="s">
        <v>8</v>
      </c>
      <c r="L1" s="1" t="s">
        <v>9</v>
      </c>
      <c r="M1" s="1" t="s">
        <v>54</v>
      </c>
      <c r="N1" s="1" t="s">
        <v>10</v>
      </c>
      <c r="O1" s="1" t="s">
        <v>11</v>
      </c>
      <c r="P1" s="1" t="s">
        <v>12</v>
      </c>
      <c r="Q1" s="1" t="s">
        <v>13</v>
      </c>
      <c r="R1" s="1" t="s">
        <v>14</v>
      </c>
      <c r="S1" s="1" t="s">
        <v>15</v>
      </c>
      <c r="T1" s="1" t="s">
        <v>16</v>
      </c>
      <c r="U1" s="1" t="s">
        <v>17</v>
      </c>
      <c r="V1" s="1" t="s">
        <v>18</v>
      </c>
      <c r="W1" s="1" t="s">
        <v>19</v>
      </c>
      <c r="X1" s="1" t="s">
        <v>20</v>
      </c>
      <c r="Y1" s="1" t="s">
        <v>21</v>
      </c>
      <c r="Z1" s="1">
        <v>0.22</v>
      </c>
      <c r="AA1" s="1" t="s">
        <v>22</v>
      </c>
      <c r="AB1" s="1">
        <v>0.24</v>
      </c>
      <c r="AC1" s="1" t="s">
        <v>23</v>
      </c>
      <c r="AD1" s="1">
        <v>0.32</v>
      </c>
      <c r="AE1" s="1">
        <v>0.35</v>
      </c>
      <c r="AF1" s="1" t="s">
        <v>24</v>
      </c>
      <c r="AG1" s="1">
        <v>0.37</v>
      </c>
      <c r="AH1" s="1" t="s">
        <v>25</v>
      </c>
      <c r="AI1" s="1" t="s">
        <v>26</v>
      </c>
      <c r="AJ1" s="1" t="s">
        <v>27</v>
      </c>
      <c r="AK1" s="1" t="s">
        <v>28</v>
      </c>
      <c r="AL1" s="1" t="s">
        <v>29</v>
      </c>
      <c r="AM1" s="1" t="s">
        <v>30</v>
      </c>
      <c r="AN1" s="1" t="s">
        <v>31</v>
      </c>
    </row>
    <row r="2" spans="1:40" s="1" customFormat="1" ht="20.399999999999999" customHeight="1" x14ac:dyDescent="0.55000000000000004">
      <c r="C2" s="2">
        <f>'[1]vanguard glide path'!H9</f>
        <v>5.1967485000000001E-2</v>
      </c>
      <c r="H2" s="1">
        <v>0.24</v>
      </c>
      <c r="I2" s="3"/>
      <c r="J2" s="1">
        <v>1.077</v>
      </c>
      <c r="K2" s="1">
        <v>3.7999999999999999E-2</v>
      </c>
      <c r="L2" s="3"/>
      <c r="M2" s="3"/>
      <c r="N2" s="3"/>
      <c r="O2" s="3"/>
      <c r="P2" s="3"/>
      <c r="Q2" s="3"/>
      <c r="R2" s="3"/>
      <c r="S2" s="15">
        <v>3.73E-2</v>
      </c>
      <c r="T2" s="15">
        <v>4.7E-2</v>
      </c>
      <c r="U2" s="15">
        <v>4.7E-2</v>
      </c>
      <c r="V2" s="15">
        <v>4.7E-2</v>
      </c>
      <c r="W2" s="3" t="s">
        <v>32</v>
      </c>
      <c r="X2" s="3"/>
      <c r="Y2" s="3"/>
      <c r="Z2" s="3">
        <v>0.22</v>
      </c>
      <c r="AA2" s="3">
        <v>0.28000000000000003</v>
      </c>
      <c r="AB2" s="3">
        <v>0.24</v>
      </c>
      <c r="AC2" s="3">
        <v>0.33</v>
      </c>
      <c r="AD2" s="3">
        <v>0.32</v>
      </c>
      <c r="AE2" s="3">
        <v>0.35</v>
      </c>
      <c r="AF2" s="3">
        <v>0.39600000000000002</v>
      </c>
      <c r="AG2" s="3">
        <v>0.37</v>
      </c>
      <c r="AH2" s="3"/>
      <c r="AI2" s="3"/>
      <c r="AJ2" s="4">
        <v>76000</v>
      </c>
      <c r="AN2" s="1">
        <v>1.0249999999999999</v>
      </c>
    </row>
    <row r="3" spans="1:40" x14ac:dyDescent="0.55000000000000004">
      <c r="A3">
        <v>72</v>
      </c>
      <c r="B3">
        <v>27.3</v>
      </c>
      <c r="C3" s="3">
        <v>4030688.5255400445</v>
      </c>
      <c r="D3" s="3">
        <f>C3/B3</f>
        <v>147644.26833480017</v>
      </c>
      <c r="E3" s="3">
        <v>90000</v>
      </c>
      <c r="F3" s="3">
        <f>100000*POWER(1.08,7)</f>
        <v>171382.42687795206</v>
      </c>
      <c r="G3" s="3">
        <f>F3/B3</f>
        <v>6277.7445742839582</v>
      </c>
      <c r="H3" s="3">
        <f>G3*H$2</f>
        <v>1506.6586978281498</v>
      </c>
      <c r="M3" s="3">
        <f t="shared" ref="M3:M31" si="0">D3+E3+G3+L3</f>
        <v>243922.01290908412</v>
      </c>
      <c r="N3" s="3">
        <f>'[1]medicare 2021'!L17</f>
        <v>206831.32113826898</v>
      </c>
      <c r="O3" s="3">
        <f>'[1]medicare 2021'!L18</f>
        <v>259133.49429967033</v>
      </c>
      <c r="P3" s="3">
        <f>'[1]medicare 2021'!L19</f>
        <v>323322.52499775379</v>
      </c>
      <c r="Q3" s="3">
        <v>387516.2</v>
      </c>
      <c r="R3" s="3">
        <v>750000</v>
      </c>
      <c r="X3" s="3">
        <v>10977.512935125942</v>
      </c>
      <c r="Y3" s="3">
        <v>34722.699550402154</v>
      </c>
      <c r="Z3" s="3">
        <v>127964.74370000001</v>
      </c>
      <c r="AA3" s="3">
        <v>225140.96870000003</v>
      </c>
      <c r="AB3" s="3">
        <v>235898.70370000001</v>
      </c>
      <c r="AC3" s="3">
        <v>326082.45147374936</v>
      </c>
      <c r="AD3" s="3">
        <v>420800.98870000005</v>
      </c>
      <c r="AE3" s="3">
        <v>525525.45870000008</v>
      </c>
      <c r="AF3" s="3">
        <v>624625.7990816104</v>
      </c>
      <c r="AG3" s="3">
        <v>772002.40370000002</v>
      </c>
      <c r="AH3" s="3">
        <f>496601*POWER(1.025,7)</f>
        <v>590302.53395738802</v>
      </c>
      <c r="AI3" s="3">
        <f>C3+F3+K3</f>
        <v>4202070.9524179967</v>
      </c>
      <c r="AJ3" s="3">
        <f>AJ2*POWER(1.08,7)</f>
        <v>130250.64442724358</v>
      </c>
      <c r="AK3" s="3">
        <f>C3+AJ3</f>
        <v>4160939.1699672882</v>
      </c>
      <c r="AL3" s="5">
        <f>AK3/AI3</f>
        <v>0.99021154499377506</v>
      </c>
      <c r="AM3" s="3">
        <f>AK3-AI3</f>
        <v>-41131.782450708561</v>
      </c>
      <c r="AN3" s="6">
        <f>POWER(AN2,7)</f>
        <v>1.1886857536682125</v>
      </c>
    </row>
    <row r="4" spans="1:40" x14ac:dyDescent="0.55000000000000004">
      <c r="A4">
        <v>73</v>
      </c>
      <c r="B4">
        <v>26.4</v>
      </c>
      <c r="C4" s="3">
        <f>(C3-D3)*(1+C$2)</f>
        <v>4084836.301395894</v>
      </c>
      <c r="D4" s="3">
        <f>C4/B4</f>
        <v>154728.6477801475</v>
      </c>
      <c r="E4" s="3">
        <f>E3*1.025</f>
        <v>92249.999999999985</v>
      </c>
      <c r="F4" s="3">
        <f>(F3-G3)*1.08</f>
        <v>178313.05688796157</v>
      </c>
      <c r="G4" s="3">
        <f>F4/B4</f>
        <v>6754.2824578773325</v>
      </c>
      <c r="H4" s="3">
        <f t="shared" ref="H4:H30" si="1">G4*H$2</f>
        <v>1621.0277898905597</v>
      </c>
      <c r="J4" s="3">
        <f>G3-H3-I3</f>
        <v>4771.0858764558088</v>
      </c>
      <c r="K4" s="3">
        <f>J4</f>
        <v>4771.0858764558088</v>
      </c>
      <c r="M4" s="3">
        <f t="shared" si="0"/>
        <v>253732.93023802483</v>
      </c>
      <c r="N4" s="3">
        <f>N3*1.025</f>
        <v>212002.10416672568</v>
      </c>
      <c r="O4" s="3">
        <f>O3*1.025</f>
        <v>265611.83165716205</v>
      </c>
      <c r="P4" s="3">
        <f>P3*1.025</f>
        <v>331405.58812269761</v>
      </c>
      <c r="Q4" s="3">
        <f>Q3*1.025</f>
        <v>397204.10499999998</v>
      </c>
      <c r="R4" s="3">
        <f>R3*1.025</f>
        <v>768749.99999999988</v>
      </c>
      <c r="X4" s="3">
        <f>X3*1.025</f>
        <v>11251.95075850409</v>
      </c>
      <c r="Y4" s="3">
        <f>Y3*1.025</f>
        <v>35590.767039162209</v>
      </c>
      <c r="Z4" s="3">
        <f>Z3*1.025</f>
        <v>131163.86229250001</v>
      </c>
      <c r="AA4" s="3">
        <f t="shared" ref="AA4:AH19" si="2">AA3*1.025</f>
        <v>230769.4929175</v>
      </c>
      <c r="AB4" s="3">
        <f t="shared" si="2"/>
        <v>241796.17129249999</v>
      </c>
      <c r="AC4" s="3">
        <f t="shared" si="2"/>
        <v>334234.51276059309</v>
      </c>
      <c r="AD4" s="3">
        <f t="shared" si="2"/>
        <v>431321.01341750001</v>
      </c>
      <c r="AE4" s="3">
        <f t="shared" si="2"/>
        <v>538663.59516750008</v>
      </c>
      <c r="AF4" s="3">
        <f t="shared" si="2"/>
        <v>640241.44405865064</v>
      </c>
      <c r="AG4" s="3">
        <f t="shared" si="2"/>
        <v>791302.46379249997</v>
      </c>
      <c r="AH4" s="3">
        <f>AH3*1.025</f>
        <v>605060.09730632266</v>
      </c>
      <c r="AI4" s="3">
        <f t="shared" ref="AI4:AI31" si="3">C4+F4+K4-J4</f>
        <v>4263149.358283856</v>
      </c>
      <c r="AJ4" s="3">
        <f>AJ3*1.08</f>
        <v>140670.69598142308</v>
      </c>
      <c r="AK4" s="3">
        <f>C4+AJ4</f>
        <v>4225506.9973773174</v>
      </c>
      <c r="AL4" s="5">
        <f>AK4/AI4</f>
        <v>0.99117029272422874</v>
      </c>
      <c r="AM4" s="3">
        <f t="shared" ref="AM4:AM31" si="4">AK4-AI4</f>
        <v>-37642.360906538554</v>
      </c>
      <c r="AN4" s="6">
        <f>AN3*AN$2</f>
        <v>1.2184028975099177</v>
      </c>
    </row>
    <row r="5" spans="1:40" x14ac:dyDescent="0.55000000000000004">
      <c r="A5">
        <v>74</v>
      </c>
      <c r="B5">
        <v>25.5</v>
      </c>
      <c r="C5" s="3">
        <f t="shared" ref="C5:C31" si="5">(C4-D4)*(1+C$2)</f>
        <v>4134345.4641534081</v>
      </c>
      <c r="D5" s="3">
        <f t="shared" ref="D5:D30" si="6">C5/B5</f>
        <v>162131.19467268267</v>
      </c>
      <c r="E5" s="3">
        <f t="shared" ref="E5:E30" si="7">E4*1.025</f>
        <v>94556.249999999971</v>
      </c>
      <c r="F5" s="3">
        <f>(F4-G4)*1.08</f>
        <v>185283.47638449099</v>
      </c>
      <c r="G5" s="3">
        <f>F5/B5</f>
        <v>7266.0186817447448</v>
      </c>
      <c r="H5" s="3">
        <f t="shared" si="1"/>
        <v>1743.8444836187386</v>
      </c>
      <c r="J5" s="3">
        <f t="shared" ref="J5:J30" si="8">G4-H4-I4</f>
        <v>5133.2546679867728</v>
      </c>
      <c r="K5" s="3">
        <f t="shared" ref="K5:K31" si="9">(K4*J$2)+J5-(K$2*L5)</f>
        <v>10268.088131663573</v>
      </c>
      <c r="L5" s="3">
        <f t="shared" ref="L5:L31" si="10">0.02*K4</f>
        <v>95.421717529116179</v>
      </c>
      <c r="M5" s="3">
        <f t="shared" si="0"/>
        <v>264048.88507195649</v>
      </c>
      <c r="N5" s="3">
        <f t="shared" ref="N5:R20" si="11">N4*1.025</f>
        <v>217302.15677089381</v>
      </c>
      <c r="O5" s="3">
        <f t="shared" si="11"/>
        <v>272252.12744859105</v>
      </c>
      <c r="P5" s="3">
        <f t="shared" si="11"/>
        <v>339690.72782576503</v>
      </c>
      <c r="Q5" s="3">
        <f t="shared" si="11"/>
        <v>407134.20762499992</v>
      </c>
      <c r="R5" s="3">
        <f t="shared" si="11"/>
        <v>787968.74999999977</v>
      </c>
      <c r="X5" s="3">
        <f t="shared" ref="X5:AH20" si="12">X4*1.025</f>
        <v>11533.249527466691</v>
      </c>
      <c r="Y5" s="3">
        <f t="shared" si="12"/>
        <v>36480.536215141263</v>
      </c>
      <c r="Z5" s="3">
        <f t="shared" si="12"/>
        <v>134442.95884981251</v>
      </c>
      <c r="AA5" s="3">
        <f t="shared" si="2"/>
        <v>236538.73024043749</v>
      </c>
      <c r="AB5" s="3">
        <f t="shared" si="2"/>
        <v>247841.07557481248</v>
      </c>
      <c r="AC5" s="3">
        <f t="shared" si="2"/>
        <v>342590.37557960791</v>
      </c>
      <c r="AD5" s="3">
        <f t="shared" si="2"/>
        <v>442104.03875293746</v>
      </c>
      <c r="AE5" s="3">
        <f t="shared" si="2"/>
        <v>552130.18504668749</v>
      </c>
      <c r="AF5" s="3">
        <f t="shared" si="2"/>
        <v>656247.4801601168</v>
      </c>
      <c r="AG5" s="3">
        <f t="shared" si="2"/>
        <v>811085.0253873124</v>
      </c>
      <c r="AH5" s="3">
        <f t="shared" si="2"/>
        <v>620186.59973898064</v>
      </c>
      <c r="AI5" s="3">
        <f t="shared" si="3"/>
        <v>4324763.7740015751</v>
      </c>
      <c r="AJ5" s="3">
        <f>AJ4*1.08</f>
        <v>151924.35165993695</v>
      </c>
      <c r="AK5" s="3">
        <f t="shared" ref="AK5:AK31" si="13">C5+AJ5</f>
        <v>4286269.8158133449</v>
      </c>
      <c r="AL5" s="5">
        <f t="shared" ref="AL5:AL31" si="14">AK5/AI5</f>
        <v>0.99109917669500525</v>
      </c>
      <c r="AM5" s="3">
        <f t="shared" si="4"/>
        <v>-38493.958188230172</v>
      </c>
      <c r="AN5" s="6">
        <f t="shared" ref="AN5:AN31" si="15">AN4*AN$2</f>
        <v>1.2488629699476654</v>
      </c>
    </row>
    <row r="6" spans="1:40" x14ac:dyDescent="0.55000000000000004">
      <c r="A6">
        <v>75</v>
      </c>
      <c r="B6">
        <v>24.6</v>
      </c>
      <c r="C6" s="3">
        <f t="shared" si="5"/>
        <v>4178640.2549467511</v>
      </c>
      <c r="D6" s="3">
        <f t="shared" si="6"/>
        <v>169863.42499783539</v>
      </c>
      <c r="E6" s="3">
        <f t="shared" si="7"/>
        <v>96920.156249999956</v>
      </c>
      <c r="F6" s="3">
        <f t="shared" ref="F6:F31" si="16">(F5-G5)*1.08</f>
        <v>192258.85431896595</v>
      </c>
      <c r="G6" s="3">
        <f t="shared" ref="G6:G30" si="17">F6/B6</f>
        <v>7815.4005820717866</v>
      </c>
      <c r="H6" s="3">
        <f t="shared" si="1"/>
        <v>1875.6961396972288</v>
      </c>
      <c r="J6" s="3">
        <f t="shared" si="8"/>
        <v>5522.1741981260056</v>
      </c>
      <c r="K6" s="3">
        <f t="shared" si="9"/>
        <v>16573.101368947606</v>
      </c>
      <c r="L6" s="3">
        <f t="shared" si="10"/>
        <v>205.36176263327147</v>
      </c>
      <c r="M6" s="3">
        <f t="shared" si="0"/>
        <v>274804.34359254042</v>
      </c>
      <c r="N6" s="3">
        <f t="shared" si="11"/>
        <v>222734.71069016613</v>
      </c>
      <c r="O6" s="3">
        <f t="shared" si="11"/>
        <v>279058.43063480582</v>
      </c>
      <c r="P6" s="3">
        <f t="shared" si="11"/>
        <v>348182.99602140911</v>
      </c>
      <c r="Q6" s="3">
        <f t="shared" si="11"/>
        <v>417312.56281562487</v>
      </c>
      <c r="R6" s="3">
        <f t="shared" si="11"/>
        <v>807667.96874999965</v>
      </c>
      <c r="X6" s="3">
        <f t="shared" si="12"/>
        <v>11821.580765653356</v>
      </c>
      <c r="Y6" s="3">
        <f t="shared" si="12"/>
        <v>37392.549620519792</v>
      </c>
      <c r="Z6" s="3">
        <f t="shared" si="12"/>
        <v>137804.0328210578</v>
      </c>
      <c r="AA6" s="3">
        <f t="shared" si="2"/>
        <v>242452.1984964484</v>
      </c>
      <c r="AB6" s="3">
        <f t="shared" si="2"/>
        <v>254037.10246418277</v>
      </c>
      <c r="AC6" s="3">
        <f t="shared" si="2"/>
        <v>351155.13496909809</v>
      </c>
      <c r="AD6" s="3">
        <f t="shared" si="2"/>
        <v>453156.63972176088</v>
      </c>
      <c r="AE6" s="3">
        <f t="shared" si="2"/>
        <v>565933.43967285461</v>
      </c>
      <c r="AF6" s="3">
        <f t="shared" si="2"/>
        <v>672653.66716411966</v>
      </c>
      <c r="AG6" s="3">
        <f t="shared" si="2"/>
        <v>831362.15102199512</v>
      </c>
      <c r="AH6" s="3">
        <f t="shared" si="2"/>
        <v>635691.26473245514</v>
      </c>
      <c r="AI6" s="3">
        <f t="shared" si="3"/>
        <v>4381950.0364365382</v>
      </c>
      <c r="AJ6" s="3">
        <f t="shared" ref="AJ6:AJ31" si="18">AJ5*1.08</f>
        <v>164078.29979273191</v>
      </c>
      <c r="AK6" s="3">
        <f t="shared" si="13"/>
        <v>4342718.5547394827</v>
      </c>
      <c r="AL6" s="5">
        <f t="shared" si="14"/>
        <v>0.99104702669568567</v>
      </c>
      <c r="AM6" s="3">
        <f t="shared" si="4"/>
        <v>-39231.481697055511</v>
      </c>
      <c r="AN6" s="6">
        <f t="shared" si="15"/>
        <v>1.2800845441963569</v>
      </c>
    </row>
    <row r="7" spans="1:40" x14ac:dyDescent="0.55000000000000004">
      <c r="A7">
        <v>76</v>
      </c>
      <c r="B7">
        <v>23.7</v>
      </c>
      <c r="C7" s="3">
        <f t="shared" si="5"/>
        <v>4217102.8797276337</v>
      </c>
      <c r="D7" s="3">
        <f t="shared" si="6"/>
        <v>177936.8303682546</v>
      </c>
      <c r="E7" s="3">
        <f t="shared" si="7"/>
        <v>99343.160156249942</v>
      </c>
      <c r="F7" s="3">
        <f t="shared" si="16"/>
        <v>199198.93003584573</v>
      </c>
      <c r="G7" s="3">
        <f t="shared" si="17"/>
        <v>8405.0181449723932</v>
      </c>
      <c r="H7" s="3">
        <f t="shared" si="1"/>
        <v>2017.2043547933743</v>
      </c>
      <c r="J7" s="3">
        <f t="shared" si="8"/>
        <v>5939.7044423745574</v>
      </c>
      <c r="K7" s="3">
        <f t="shared" si="9"/>
        <v>23776.339059690727</v>
      </c>
      <c r="L7" s="3">
        <f t="shared" si="10"/>
        <v>331.46202737895214</v>
      </c>
      <c r="M7" s="3">
        <f t="shared" si="0"/>
        <v>286016.47069685592</v>
      </c>
      <c r="N7" s="3">
        <f t="shared" si="11"/>
        <v>228303.07845742026</v>
      </c>
      <c r="O7" s="3">
        <f t="shared" si="11"/>
        <v>286034.89140067593</v>
      </c>
      <c r="P7" s="3">
        <f t="shared" si="11"/>
        <v>356887.57092194428</v>
      </c>
      <c r="Q7" s="3">
        <f t="shared" si="11"/>
        <v>427745.37688601547</v>
      </c>
      <c r="R7" s="3">
        <f t="shared" si="11"/>
        <v>827859.66796874953</v>
      </c>
      <c r="X7" s="3">
        <f t="shared" si="12"/>
        <v>12117.12028479469</v>
      </c>
      <c r="Y7" s="3">
        <f t="shared" si="12"/>
        <v>38327.363361032782</v>
      </c>
      <c r="Z7" s="3">
        <f t="shared" si="12"/>
        <v>141249.13364158422</v>
      </c>
      <c r="AA7" s="3">
        <f t="shared" si="2"/>
        <v>248513.5034588596</v>
      </c>
      <c r="AB7" s="3">
        <f t="shared" si="2"/>
        <v>260388.0300257873</v>
      </c>
      <c r="AC7" s="3">
        <f t="shared" si="2"/>
        <v>359934.01334332553</v>
      </c>
      <c r="AD7" s="3">
        <f t="shared" si="2"/>
        <v>464485.55571480485</v>
      </c>
      <c r="AE7" s="3">
        <f t="shared" si="2"/>
        <v>580081.77566467598</v>
      </c>
      <c r="AF7" s="3">
        <f t="shared" si="2"/>
        <v>689470.00884322263</v>
      </c>
      <c r="AG7" s="3">
        <f t="shared" si="2"/>
        <v>852146.20479754487</v>
      </c>
      <c r="AH7" s="3">
        <f t="shared" si="2"/>
        <v>651583.54635076644</v>
      </c>
      <c r="AI7" s="3">
        <f t="shared" si="3"/>
        <v>4434138.4443807956</v>
      </c>
      <c r="AJ7" s="3">
        <f t="shared" si="18"/>
        <v>177204.56377615046</v>
      </c>
      <c r="AK7" s="3">
        <f t="shared" si="13"/>
        <v>4394307.443503784</v>
      </c>
      <c r="AL7" s="5">
        <f t="shared" si="14"/>
        <v>0.991017195025228</v>
      </c>
      <c r="AM7" s="3">
        <f t="shared" si="4"/>
        <v>-39831.000877011567</v>
      </c>
      <c r="AN7" s="6">
        <f t="shared" si="15"/>
        <v>1.3120866578012658</v>
      </c>
    </row>
    <row r="8" spans="1:40" x14ac:dyDescent="0.55000000000000004">
      <c r="A8">
        <v>77</v>
      </c>
      <c r="B8">
        <v>22.8</v>
      </c>
      <c r="C8" s="3">
        <f t="shared" si="5"/>
        <v>4249071.3504419718</v>
      </c>
      <c r="D8" s="3">
        <f t="shared" si="6"/>
        <v>186362.77852815666</v>
      </c>
      <c r="E8" s="3">
        <f t="shared" si="7"/>
        <v>101826.73916015618</v>
      </c>
      <c r="F8" s="3">
        <f t="shared" si="16"/>
        <v>206057.42484214323</v>
      </c>
      <c r="G8" s="3">
        <f t="shared" si="17"/>
        <v>9037.6063527255792</v>
      </c>
      <c r="H8" s="3">
        <f t="shared" si="1"/>
        <v>2169.0255246541387</v>
      </c>
      <c r="I8" s="3">
        <f>T8</f>
        <v>3413.3278359371038</v>
      </c>
      <c r="J8" s="3">
        <f t="shared" si="8"/>
        <v>6387.8137901790187</v>
      </c>
      <c r="K8" s="3">
        <f t="shared" si="9"/>
        <v>31976.860939780567</v>
      </c>
      <c r="L8" s="3">
        <f t="shared" si="10"/>
        <v>475.52678119381454</v>
      </c>
      <c r="M8" s="3">
        <f t="shared" si="0"/>
        <v>297702.65082223224</v>
      </c>
      <c r="N8" s="3">
        <f t="shared" si="11"/>
        <v>234010.65541885575</v>
      </c>
      <c r="O8" s="3">
        <f t="shared" si="11"/>
        <v>293185.7636856928</v>
      </c>
      <c r="P8" s="3">
        <f t="shared" si="11"/>
        <v>365809.76019499288</v>
      </c>
      <c r="Q8" s="3">
        <f t="shared" si="11"/>
        <v>438439.01130816579</v>
      </c>
      <c r="R8" s="3">
        <f t="shared" si="11"/>
        <v>848556.15966796817</v>
      </c>
      <c r="S8" s="3">
        <f>(O8-N8)*S$2</f>
        <v>2207.2315383530222</v>
      </c>
      <c r="T8" s="3">
        <f>(P8-O8)*T$2</f>
        <v>3413.3278359371038</v>
      </c>
      <c r="X8" s="3">
        <f t="shared" si="12"/>
        <v>12420.048291914556</v>
      </c>
      <c r="Y8" s="3">
        <f t="shared" si="12"/>
        <v>39285.547445058597</v>
      </c>
      <c r="Z8" s="3">
        <f t="shared" si="12"/>
        <v>144780.36198262381</v>
      </c>
      <c r="AA8" s="3">
        <f t="shared" si="2"/>
        <v>254726.34104533106</v>
      </c>
      <c r="AB8" s="3">
        <f t="shared" si="2"/>
        <v>266897.73077643197</v>
      </c>
      <c r="AC8" s="3">
        <f t="shared" si="2"/>
        <v>368932.36367690866</v>
      </c>
      <c r="AD8" s="3">
        <f t="shared" si="2"/>
        <v>476097.69460767496</v>
      </c>
      <c r="AE8" s="3">
        <f t="shared" si="2"/>
        <v>594583.82005629281</v>
      </c>
      <c r="AF8" s="3">
        <f t="shared" si="2"/>
        <v>706706.75906430313</v>
      </c>
      <c r="AG8" s="3">
        <f t="shared" si="2"/>
        <v>873449.85991748341</v>
      </c>
      <c r="AH8" s="3">
        <f t="shared" si="2"/>
        <v>667873.13500953559</v>
      </c>
      <c r="AI8" s="3">
        <f t="shared" si="3"/>
        <v>4480717.8224337166</v>
      </c>
      <c r="AJ8" s="3">
        <f t="shared" si="18"/>
        <v>191380.9288782425</v>
      </c>
      <c r="AK8" s="3">
        <f t="shared" si="13"/>
        <v>4440452.2793202139</v>
      </c>
      <c r="AL8" s="5">
        <f t="shared" si="14"/>
        <v>0.99101359543064638</v>
      </c>
      <c r="AM8" s="3">
        <f t="shared" si="4"/>
        <v>-40265.543113502674</v>
      </c>
      <c r="AN8" s="6">
        <f t="shared" si="15"/>
        <v>1.3448888242462973</v>
      </c>
    </row>
    <row r="9" spans="1:40" x14ac:dyDescent="0.55000000000000004">
      <c r="A9">
        <v>78</v>
      </c>
      <c r="B9">
        <v>21.9</v>
      </c>
      <c r="C9" s="3">
        <f t="shared" si="5"/>
        <v>4273837.3186841179</v>
      </c>
      <c r="D9" s="3">
        <f t="shared" si="6"/>
        <v>195152.38898100995</v>
      </c>
      <c r="E9" s="3">
        <f t="shared" si="7"/>
        <v>104372.40763916008</v>
      </c>
      <c r="F9" s="3">
        <f t="shared" si="16"/>
        <v>212781.40396857107</v>
      </c>
      <c r="G9" s="3">
        <f t="shared" si="17"/>
        <v>9716.0458433137483</v>
      </c>
      <c r="H9" s="3">
        <f t="shared" si="1"/>
        <v>2331.8510023952995</v>
      </c>
      <c r="I9" s="3">
        <f>T9</f>
        <v>3498.6610318355306</v>
      </c>
      <c r="J9" s="3">
        <f t="shared" si="8"/>
        <v>3455.2529921343371</v>
      </c>
      <c r="K9" s="3">
        <f t="shared" si="9"/>
        <v>37870.029809963773</v>
      </c>
      <c r="L9" s="3">
        <f t="shared" si="10"/>
        <v>639.53721879561135</v>
      </c>
      <c r="M9" s="3">
        <f t="shared" si="0"/>
        <v>309880.37968227937</v>
      </c>
      <c r="N9" s="3">
        <f t="shared" si="11"/>
        <v>239860.92180432711</v>
      </c>
      <c r="O9" s="3">
        <f t="shared" si="11"/>
        <v>300515.40777783509</v>
      </c>
      <c r="P9" s="3">
        <f t="shared" si="11"/>
        <v>374955.00419986766</v>
      </c>
      <c r="Q9" s="3">
        <f t="shared" si="11"/>
        <v>449399.9865908699</v>
      </c>
      <c r="R9" s="3">
        <f t="shared" si="11"/>
        <v>869770.06365966727</v>
      </c>
      <c r="S9" s="3">
        <f>(O9-N9)*S$2</f>
        <v>2262.4123268118478</v>
      </c>
      <c r="T9" s="3">
        <f>(P9-O9)*T$2</f>
        <v>3498.6610318355306</v>
      </c>
      <c r="X9" s="3">
        <f t="shared" si="12"/>
        <v>12730.549499212419</v>
      </c>
      <c r="Y9" s="3">
        <f t="shared" si="12"/>
        <v>40267.686131185059</v>
      </c>
      <c r="Z9" s="3">
        <f t="shared" si="12"/>
        <v>148399.8710321894</v>
      </c>
      <c r="AA9" s="3">
        <f t="shared" si="2"/>
        <v>261094.49957146432</v>
      </c>
      <c r="AB9" s="3">
        <f t="shared" si="2"/>
        <v>273570.17404584272</v>
      </c>
      <c r="AC9" s="3">
        <f t="shared" si="2"/>
        <v>378155.67276883137</v>
      </c>
      <c r="AD9" s="3">
        <f t="shared" si="2"/>
        <v>488000.13697286678</v>
      </c>
      <c r="AE9" s="3">
        <f t="shared" si="2"/>
        <v>609448.41555770009</v>
      </c>
      <c r="AF9" s="3">
        <f t="shared" si="2"/>
        <v>724374.42804091063</v>
      </c>
      <c r="AG9" s="3">
        <f t="shared" si="2"/>
        <v>895286.10641542042</v>
      </c>
      <c r="AH9" s="3">
        <f t="shared" si="2"/>
        <v>684569.96338477393</v>
      </c>
      <c r="AI9" s="3">
        <f t="shared" si="3"/>
        <v>4521033.499470518</v>
      </c>
      <c r="AJ9" s="3">
        <f t="shared" si="18"/>
        <v>206691.40318850192</v>
      </c>
      <c r="AK9" s="3">
        <f t="shared" si="13"/>
        <v>4480528.7218726194</v>
      </c>
      <c r="AL9" s="5">
        <f t="shared" si="14"/>
        <v>0.99104081453883441</v>
      </c>
      <c r="AM9" s="3">
        <f t="shared" si="4"/>
        <v>-40504.777597898617</v>
      </c>
      <c r="AN9" s="6">
        <f t="shared" si="15"/>
        <v>1.3785110448524547</v>
      </c>
    </row>
    <row r="10" spans="1:40" x14ac:dyDescent="0.55000000000000004">
      <c r="A10">
        <v>79</v>
      </c>
      <c r="B10">
        <v>21</v>
      </c>
      <c r="C10" s="3">
        <f t="shared" si="5"/>
        <v>4290643.9276071806</v>
      </c>
      <c r="D10" s="3">
        <f t="shared" si="6"/>
        <v>204316.37750510382</v>
      </c>
      <c r="E10" s="3">
        <f t="shared" si="7"/>
        <v>106981.71783013908</v>
      </c>
      <c r="F10" s="3">
        <f t="shared" si="16"/>
        <v>219310.58677527794</v>
      </c>
      <c r="G10" s="3">
        <f t="shared" si="17"/>
        <v>10443.361275013236</v>
      </c>
      <c r="H10" s="3">
        <f t="shared" si="1"/>
        <v>2506.4067060031766</v>
      </c>
      <c r="J10" s="3">
        <f t="shared" si="8"/>
        <v>3885.5338090829182</v>
      </c>
      <c r="K10" s="3">
        <f t="shared" si="9"/>
        <v>44642.774691758328</v>
      </c>
      <c r="L10" s="3">
        <f t="shared" si="10"/>
        <v>757.40059619927547</v>
      </c>
      <c r="M10" s="3">
        <f t="shared" si="0"/>
        <v>322498.85720645543</v>
      </c>
      <c r="N10" s="3">
        <f t="shared" si="11"/>
        <v>245857.44484943527</v>
      </c>
      <c r="O10" s="3">
        <f t="shared" si="11"/>
        <v>308028.29297228093</v>
      </c>
      <c r="P10" s="3">
        <f t="shared" si="11"/>
        <v>384328.87930486433</v>
      </c>
      <c r="Q10" s="3">
        <f t="shared" si="11"/>
        <v>460634.98625564162</v>
      </c>
      <c r="R10" s="3">
        <f t="shared" si="11"/>
        <v>891514.3152511589</v>
      </c>
      <c r="X10" s="3">
        <f t="shared" si="12"/>
        <v>13048.813236692728</v>
      </c>
      <c r="Y10" s="3">
        <f t="shared" si="12"/>
        <v>41274.378284464685</v>
      </c>
      <c r="Z10" s="3">
        <f t="shared" si="12"/>
        <v>152109.86780799413</v>
      </c>
      <c r="AA10" s="3">
        <f t="shared" si="2"/>
        <v>267621.86206075089</v>
      </c>
      <c r="AB10" s="3">
        <f t="shared" si="2"/>
        <v>280409.42839698878</v>
      </c>
      <c r="AC10" s="3">
        <f t="shared" si="2"/>
        <v>387609.5645880521</v>
      </c>
      <c r="AD10" s="3">
        <f t="shared" si="2"/>
        <v>500200.14039718843</v>
      </c>
      <c r="AE10" s="3">
        <f t="shared" si="2"/>
        <v>624684.6259466426</v>
      </c>
      <c r="AF10" s="3">
        <f t="shared" si="2"/>
        <v>742483.7887419333</v>
      </c>
      <c r="AG10" s="3">
        <f t="shared" si="2"/>
        <v>917668.25907580589</v>
      </c>
      <c r="AH10" s="3">
        <f t="shared" si="2"/>
        <v>701684.21246939327</v>
      </c>
      <c r="AI10" s="3">
        <f t="shared" si="3"/>
        <v>4550711.7552651344</v>
      </c>
      <c r="AJ10" s="3">
        <f t="shared" si="18"/>
        <v>223226.7154435821</v>
      </c>
      <c r="AK10" s="3">
        <f t="shared" si="13"/>
        <v>4513870.6430507628</v>
      </c>
      <c r="AL10" s="5">
        <f t="shared" si="14"/>
        <v>0.99190431866581164</v>
      </c>
      <c r="AM10" s="3">
        <f t="shared" si="4"/>
        <v>-36841.112214371562</v>
      </c>
      <c r="AN10" s="6">
        <f t="shared" si="15"/>
        <v>1.4129738209737659</v>
      </c>
    </row>
    <row r="11" spans="1:40" x14ac:dyDescent="0.55000000000000004">
      <c r="A11">
        <v>80</v>
      </c>
      <c r="B11">
        <v>20.2</v>
      </c>
      <c r="C11" s="3">
        <f t="shared" si="5"/>
        <v>4298683.715767093</v>
      </c>
      <c r="D11" s="3">
        <f t="shared" si="6"/>
        <v>212806.12454292539</v>
      </c>
      <c r="E11" s="3">
        <f t="shared" si="7"/>
        <v>109656.26077589254</v>
      </c>
      <c r="F11" s="3">
        <f t="shared" si="16"/>
        <v>225576.6035402859</v>
      </c>
      <c r="G11" s="3">
        <f t="shared" si="17"/>
        <v>11167.158591103263</v>
      </c>
      <c r="H11" s="3">
        <f t="shared" si="1"/>
        <v>2680.1180618647832</v>
      </c>
      <c r="J11" s="3">
        <f t="shared" si="8"/>
        <v>7936.9545690100595</v>
      </c>
      <c r="K11" s="3">
        <f t="shared" si="9"/>
        <v>55983.294403268039</v>
      </c>
      <c r="L11" s="3">
        <f t="shared" si="10"/>
        <v>892.85549383516661</v>
      </c>
      <c r="M11" s="3">
        <f t="shared" si="0"/>
        <v>334522.39940375637</v>
      </c>
      <c r="N11" s="3">
        <f t="shared" si="11"/>
        <v>252003.88097067113</v>
      </c>
      <c r="O11" s="3">
        <f t="shared" si="11"/>
        <v>315729.00029658794</v>
      </c>
      <c r="P11" s="3">
        <f t="shared" si="11"/>
        <v>393937.10128748592</v>
      </c>
      <c r="Q11" s="3">
        <f t="shared" si="11"/>
        <v>472150.8609120326</v>
      </c>
      <c r="R11" s="3">
        <f t="shared" si="11"/>
        <v>913802.17313243775</v>
      </c>
      <c r="X11" s="3">
        <f t="shared" si="12"/>
        <v>13375.033567610044</v>
      </c>
      <c r="Y11" s="3">
        <f t="shared" si="12"/>
        <v>42306.237741576297</v>
      </c>
      <c r="Z11" s="3">
        <f t="shared" si="12"/>
        <v>155912.61450319397</v>
      </c>
      <c r="AA11" s="3">
        <f t="shared" si="2"/>
        <v>274312.40861226962</v>
      </c>
      <c r="AB11" s="3">
        <f t="shared" si="2"/>
        <v>287419.66410691349</v>
      </c>
      <c r="AC11" s="3">
        <f t="shared" si="2"/>
        <v>397299.80370275339</v>
      </c>
      <c r="AD11" s="3">
        <f t="shared" si="2"/>
        <v>512705.14390711812</v>
      </c>
      <c r="AE11" s="3">
        <f t="shared" si="2"/>
        <v>640301.74159530865</v>
      </c>
      <c r="AF11" s="3">
        <f t="shared" si="2"/>
        <v>761045.88346048153</v>
      </c>
      <c r="AG11" s="3">
        <f t="shared" si="2"/>
        <v>940609.96555270092</v>
      </c>
      <c r="AH11" s="3">
        <f t="shared" si="2"/>
        <v>719226.31778112799</v>
      </c>
      <c r="AI11" s="3">
        <f t="shared" si="3"/>
        <v>4572306.6591416365</v>
      </c>
      <c r="AJ11" s="3">
        <f t="shared" si="18"/>
        <v>241084.85267906869</v>
      </c>
      <c r="AK11" s="3">
        <f t="shared" si="13"/>
        <v>4539768.5684461612</v>
      </c>
      <c r="AL11" s="5">
        <f t="shared" si="14"/>
        <v>0.99288365957903979</v>
      </c>
      <c r="AM11" s="3">
        <f t="shared" si="4"/>
        <v>-32538.090695475228</v>
      </c>
      <c r="AN11" s="6">
        <f t="shared" si="15"/>
        <v>1.4482981664981098</v>
      </c>
    </row>
    <row r="12" spans="1:40" x14ac:dyDescent="0.55000000000000004">
      <c r="A12">
        <v>81</v>
      </c>
      <c r="B12">
        <v>19.3</v>
      </c>
      <c r="C12" s="3">
        <f t="shared" si="5"/>
        <v>4298210.3736579455</v>
      </c>
      <c r="D12" s="3">
        <f t="shared" si="6"/>
        <v>222705.20070766556</v>
      </c>
      <c r="E12" s="3">
        <f t="shared" si="7"/>
        <v>112397.66729528985</v>
      </c>
      <c r="F12" s="3">
        <f t="shared" si="16"/>
        <v>231562.20054511726</v>
      </c>
      <c r="G12" s="3">
        <f t="shared" si="17"/>
        <v>11998.04147902162</v>
      </c>
      <c r="H12" s="3">
        <f t="shared" si="1"/>
        <v>2879.5299549651886</v>
      </c>
      <c r="J12" s="3">
        <f t="shared" si="8"/>
        <v>8487.0405292384803</v>
      </c>
      <c r="K12" s="3">
        <f t="shared" si="9"/>
        <v>68738.501297811672</v>
      </c>
      <c r="L12" s="3">
        <f t="shared" si="10"/>
        <v>1119.6658880653608</v>
      </c>
      <c r="M12" s="3">
        <f t="shared" si="0"/>
        <v>348220.57537004235</v>
      </c>
      <c r="N12" s="3">
        <f t="shared" si="11"/>
        <v>258303.97799493789</v>
      </c>
      <c r="O12" s="3">
        <f t="shared" si="11"/>
        <v>323622.22530400258</v>
      </c>
      <c r="P12" s="3">
        <f t="shared" si="11"/>
        <v>403785.52881967305</v>
      </c>
      <c r="Q12" s="3">
        <f t="shared" si="11"/>
        <v>483954.63243483339</v>
      </c>
      <c r="R12" s="3">
        <f t="shared" si="11"/>
        <v>936647.22746074863</v>
      </c>
      <c r="X12" s="3">
        <f t="shared" si="12"/>
        <v>13709.409406800294</v>
      </c>
      <c r="Y12" s="3">
        <f t="shared" si="12"/>
        <v>43363.893685115698</v>
      </c>
      <c r="Z12" s="3">
        <f t="shared" si="12"/>
        <v>159810.4298657738</v>
      </c>
      <c r="AA12" s="3">
        <f t="shared" si="2"/>
        <v>281170.21882757632</v>
      </c>
      <c r="AB12" s="3">
        <f t="shared" si="2"/>
        <v>294605.15570958628</v>
      </c>
      <c r="AC12" s="3">
        <f t="shared" si="2"/>
        <v>407232.29879532219</v>
      </c>
      <c r="AD12" s="3">
        <f t="shared" si="2"/>
        <v>525522.77250479604</v>
      </c>
      <c r="AE12" s="3">
        <f t="shared" si="2"/>
        <v>656309.28513519128</v>
      </c>
      <c r="AF12" s="3">
        <f t="shared" si="2"/>
        <v>780072.03054699348</v>
      </c>
      <c r="AG12" s="3">
        <f t="shared" si="2"/>
        <v>964125.21469151834</v>
      </c>
      <c r="AH12" s="3">
        <f t="shared" si="2"/>
        <v>737206.97572565614</v>
      </c>
      <c r="AI12" s="3">
        <f t="shared" si="3"/>
        <v>4590024.0349716367</v>
      </c>
      <c r="AJ12" s="3">
        <f t="shared" si="18"/>
        <v>260371.64089339421</v>
      </c>
      <c r="AK12" s="3">
        <f t="shared" si="13"/>
        <v>4558582.0145513397</v>
      </c>
      <c r="AL12" s="5">
        <f t="shared" si="14"/>
        <v>0.99314992248826184</v>
      </c>
      <c r="AM12" s="3">
        <f t="shared" si="4"/>
        <v>-31442.020420297049</v>
      </c>
      <c r="AN12" s="6">
        <f t="shared" si="15"/>
        <v>1.4845056206605625</v>
      </c>
    </row>
    <row r="13" spans="1:40" x14ac:dyDescent="0.55000000000000004">
      <c r="A13">
        <v>82</v>
      </c>
      <c r="B13">
        <v>18.399999999999999</v>
      </c>
      <c r="C13" s="3">
        <f t="shared" si="5"/>
        <v>4287298.9268929958</v>
      </c>
      <c r="D13" s="3">
        <f t="shared" si="6"/>
        <v>233005.37646157588</v>
      </c>
      <c r="E13" s="3">
        <f t="shared" si="7"/>
        <v>115207.60897767209</v>
      </c>
      <c r="F13" s="3">
        <f t="shared" si="16"/>
        <v>237129.29179138329</v>
      </c>
      <c r="G13" s="3">
        <f t="shared" si="17"/>
        <v>12887.461510401266</v>
      </c>
      <c r="H13" s="3">
        <f t="shared" si="1"/>
        <v>3092.9907624963039</v>
      </c>
      <c r="J13" s="3">
        <f t="shared" si="8"/>
        <v>9118.5115240564319</v>
      </c>
      <c r="K13" s="3">
        <f t="shared" si="9"/>
        <v>83097.636160813257</v>
      </c>
      <c r="L13" s="3">
        <f t="shared" si="10"/>
        <v>1374.7700259562334</v>
      </c>
      <c r="M13" s="3">
        <f t="shared" si="0"/>
        <v>362475.21697560546</v>
      </c>
      <c r="N13" s="3">
        <f t="shared" si="11"/>
        <v>264761.57744481129</v>
      </c>
      <c r="O13" s="3">
        <f t="shared" si="11"/>
        <v>331712.78093660262</v>
      </c>
      <c r="P13" s="3">
        <f t="shared" si="11"/>
        <v>413880.16704016487</v>
      </c>
      <c r="Q13" s="3">
        <f t="shared" si="11"/>
        <v>496053.49824570416</v>
      </c>
      <c r="R13" s="3">
        <f t="shared" si="11"/>
        <v>960063.4081472673</v>
      </c>
      <c r="X13" s="3">
        <f t="shared" si="12"/>
        <v>14052.144641970301</v>
      </c>
      <c r="Y13" s="3">
        <f t="shared" si="12"/>
        <v>44447.991027243588</v>
      </c>
      <c r="Z13" s="3">
        <f t="shared" si="12"/>
        <v>163805.69061241814</v>
      </c>
      <c r="AA13" s="3">
        <f t="shared" si="2"/>
        <v>288199.4742982657</v>
      </c>
      <c r="AB13" s="3">
        <f t="shared" si="2"/>
        <v>301970.28460232593</v>
      </c>
      <c r="AC13" s="3">
        <f t="shared" si="2"/>
        <v>417413.10626520519</v>
      </c>
      <c r="AD13" s="3">
        <f t="shared" si="2"/>
        <v>538660.8418174159</v>
      </c>
      <c r="AE13" s="3">
        <f t="shared" si="2"/>
        <v>672717.01726357103</v>
      </c>
      <c r="AF13" s="3">
        <f t="shared" si="2"/>
        <v>799573.83131066826</v>
      </c>
      <c r="AG13" s="3">
        <f t="shared" si="2"/>
        <v>988228.34505880624</v>
      </c>
      <c r="AH13" s="3">
        <f t="shared" si="2"/>
        <v>755637.15011879744</v>
      </c>
      <c r="AI13" s="3">
        <f t="shared" si="3"/>
        <v>4598407.3433211362</v>
      </c>
      <c r="AJ13" s="3">
        <f t="shared" si="18"/>
        <v>281201.37216486578</v>
      </c>
      <c r="AK13" s="3">
        <f t="shared" si="13"/>
        <v>4568500.2990578618</v>
      </c>
      <c r="AL13" s="5">
        <f t="shared" si="14"/>
        <v>0.99349621683544143</v>
      </c>
      <c r="AM13" s="3">
        <f t="shared" si="4"/>
        <v>-29907.044263274409</v>
      </c>
      <c r="AN13" s="6">
        <f t="shared" si="15"/>
        <v>1.5216182611770763</v>
      </c>
    </row>
    <row r="14" spans="1:40" x14ac:dyDescent="0.55000000000000004">
      <c r="A14">
        <v>83</v>
      </c>
      <c r="B14">
        <v>17.600000000000001</v>
      </c>
      <c r="C14" s="3">
        <f t="shared" si="5"/>
        <v>4264984.989699062</v>
      </c>
      <c r="D14" s="3">
        <f t="shared" si="6"/>
        <v>242328.69259653758</v>
      </c>
      <c r="E14" s="3">
        <f t="shared" si="7"/>
        <v>118087.79920211388</v>
      </c>
      <c r="F14" s="3">
        <f t="shared" si="16"/>
        <v>242181.1767034606</v>
      </c>
      <c r="G14" s="3">
        <f t="shared" si="17"/>
        <v>13760.294130878443</v>
      </c>
      <c r="H14" s="3">
        <f t="shared" si="1"/>
        <v>3302.4705914108263</v>
      </c>
      <c r="J14" s="3">
        <f t="shared" si="8"/>
        <v>9794.470747904963</v>
      </c>
      <c r="K14" s="3">
        <f t="shared" si="9"/>
        <v>99227.470689618625</v>
      </c>
      <c r="L14" s="3">
        <f t="shared" si="10"/>
        <v>1661.9527232162652</v>
      </c>
      <c r="M14" s="3">
        <f t="shared" si="0"/>
        <v>375838.73865274619</v>
      </c>
      <c r="N14" s="3">
        <f t="shared" si="11"/>
        <v>271380.61688093154</v>
      </c>
      <c r="O14" s="3">
        <f t="shared" si="11"/>
        <v>340005.60046001768</v>
      </c>
      <c r="P14" s="3">
        <f t="shared" si="11"/>
        <v>424227.17121616896</v>
      </c>
      <c r="Q14" s="3">
        <f t="shared" si="11"/>
        <v>508454.83570184675</v>
      </c>
      <c r="R14" s="3">
        <f t="shared" si="11"/>
        <v>984064.99335094891</v>
      </c>
      <c r="X14" s="3">
        <f t="shared" si="12"/>
        <v>14403.448258019556</v>
      </c>
      <c r="Y14" s="3">
        <f t="shared" si="12"/>
        <v>45559.190802924677</v>
      </c>
      <c r="Z14" s="3">
        <f t="shared" si="12"/>
        <v>167900.83287772859</v>
      </c>
      <c r="AA14" s="3">
        <f t="shared" si="2"/>
        <v>295404.46115572233</v>
      </c>
      <c r="AB14" s="3">
        <f t="shared" si="2"/>
        <v>309519.54171738407</v>
      </c>
      <c r="AC14" s="3">
        <f t="shared" si="2"/>
        <v>427848.43392183527</v>
      </c>
      <c r="AD14" s="3">
        <f t="shared" si="2"/>
        <v>552127.36286285124</v>
      </c>
      <c r="AE14" s="3">
        <f t="shared" si="2"/>
        <v>689534.94269516028</v>
      </c>
      <c r="AF14" s="3">
        <f t="shared" si="2"/>
        <v>819563.17709343485</v>
      </c>
      <c r="AG14" s="3">
        <f t="shared" si="2"/>
        <v>1012934.0536852763</v>
      </c>
      <c r="AH14" s="3">
        <f t="shared" si="2"/>
        <v>774528.07887176727</v>
      </c>
      <c r="AI14" s="3">
        <f t="shared" si="3"/>
        <v>4596599.1663442366</v>
      </c>
      <c r="AJ14" s="3">
        <f t="shared" si="18"/>
        <v>303697.48193805508</v>
      </c>
      <c r="AK14" s="3">
        <f t="shared" si="13"/>
        <v>4568682.4716371167</v>
      </c>
      <c r="AL14" s="5">
        <f t="shared" si="14"/>
        <v>0.99392666323582823</v>
      </c>
      <c r="AM14" s="3">
        <f t="shared" si="4"/>
        <v>-27916.694707119837</v>
      </c>
      <c r="AN14" s="6">
        <f t="shared" si="15"/>
        <v>1.5596587177065031</v>
      </c>
    </row>
    <row r="15" spans="1:40" x14ac:dyDescent="0.55000000000000004">
      <c r="A15">
        <v>84</v>
      </c>
      <c r="B15">
        <v>16.8</v>
      </c>
      <c r="C15" s="3">
        <f t="shared" si="5"/>
        <v>4231703.6278823558</v>
      </c>
      <c r="D15" s="3">
        <f t="shared" si="6"/>
        <v>251887.12070728309</v>
      </c>
      <c r="E15" s="3">
        <f t="shared" si="7"/>
        <v>121039.99418216672</v>
      </c>
      <c r="F15" s="3">
        <f t="shared" si="16"/>
        <v>246694.55317838874</v>
      </c>
      <c r="G15" s="3">
        <f t="shared" si="17"/>
        <v>14684.199593951711</v>
      </c>
      <c r="H15" s="3">
        <f t="shared" si="1"/>
        <v>3524.2079025484104</v>
      </c>
      <c r="J15" s="3">
        <f t="shared" si="8"/>
        <v>10457.823539467616</v>
      </c>
      <c r="K15" s="3">
        <f t="shared" si="9"/>
        <v>117250.39659446276</v>
      </c>
      <c r="L15" s="3">
        <f t="shared" si="10"/>
        <v>1984.5494137923727</v>
      </c>
      <c r="M15" s="3">
        <f t="shared" si="0"/>
        <v>389595.86389719386</v>
      </c>
      <c r="N15" s="3">
        <f t="shared" si="11"/>
        <v>278165.13230295479</v>
      </c>
      <c r="O15" s="3">
        <f t="shared" si="11"/>
        <v>348505.74047151807</v>
      </c>
      <c r="P15" s="3">
        <f t="shared" si="11"/>
        <v>434832.85049657314</v>
      </c>
      <c r="Q15" s="3">
        <f t="shared" si="11"/>
        <v>521166.20659439289</v>
      </c>
      <c r="R15" s="3">
        <f t="shared" si="11"/>
        <v>1008666.6181847225</v>
      </c>
      <c r="X15" s="3">
        <f t="shared" si="12"/>
        <v>14763.534464470044</v>
      </c>
      <c r="Y15" s="3">
        <f t="shared" si="12"/>
        <v>46698.170572997791</v>
      </c>
      <c r="Z15" s="3">
        <f t="shared" si="12"/>
        <v>172098.3536996718</v>
      </c>
      <c r="AA15" s="3">
        <f t="shared" si="2"/>
        <v>302789.57268461538</v>
      </c>
      <c r="AB15" s="3">
        <f t="shared" si="2"/>
        <v>317257.53026031866</v>
      </c>
      <c r="AC15" s="3">
        <f t="shared" si="2"/>
        <v>438544.6447698811</v>
      </c>
      <c r="AD15" s="3">
        <f t="shared" si="2"/>
        <v>565930.54693442245</v>
      </c>
      <c r="AE15" s="3">
        <f t="shared" si="2"/>
        <v>706773.31626253924</v>
      </c>
      <c r="AF15" s="3">
        <f t="shared" si="2"/>
        <v>840052.25652077061</v>
      </c>
      <c r="AG15" s="3">
        <f t="shared" si="2"/>
        <v>1038257.4050274082</v>
      </c>
      <c r="AH15" s="3">
        <f t="shared" si="2"/>
        <v>793891.2808435614</v>
      </c>
      <c r="AI15" s="3">
        <f t="shared" si="3"/>
        <v>4585190.7541157398</v>
      </c>
      <c r="AJ15" s="3">
        <f t="shared" si="18"/>
        <v>327993.28049309948</v>
      </c>
      <c r="AK15" s="3">
        <f t="shared" si="13"/>
        <v>4559696.9083754551</v>
      </c>
      <c r="AL15" s="5">
        <f t="shared" si="14"/>
        <v>0.9944399596205673</v>
      </c>
      <c r="AM15" s="3">
        <f t="shared" si="4"/>
        <v>-25493.845740284771</v>
      </c>
      <c r="AN15" s="6">
        <f t="shared" si="15"/>
        <v>1.5986501856491655</v>
      </c>
    </row>
    <row r="16" spans="1:40" x14ac:dyDescent="0.55000000000000004">
      <c r="A16">
        <v>85</v>
      </c>
      <c r="B16">
        <v>16</v>
      </c>
      <c r="C16" s="3">
        <f t="shared" si="5"/>
        <v>4186637.5618144455</v>
      </c>
      <c r="D16" s="3">
        <f t="shared" si="6"/>
        <v>261664.84761340285</v>
      </c>
      <c r="E16" s="3">
        <f t="shared" si="7"/>
        <v>124065.99403672088</v>
      </c>
      <c r="F16" s="3">
        <f t="shared" si="16"/>
        <v>250571.18187119201</v>
      </c>
      <c r="G16" s="3">
        <f t="shared" si="17"/>
        <v>15660.6988669495</v>
      </c>
      <c r="H16" s="3">
        <f t="shared" si="1"/>
        <v>3758.5677280678801</v>
      </c>
      <c r="J16" s="3">
        <f t="shared" si="8"/>
        <v>11159.9916914033</v>
      </c>
      <c r="K16" s="3">
        <f t="shared" si="9"/>
        <v>137349.55852222789</v>
      </c>
      <c r="L16" s="3">
        <f t="shared" si="10"/>
        <v>2345.0079318892554</v>
      </c>
      <c r="M16" s="3">
        <f t="shared" si="0"/>
        <v>403736.54844896245</v>
      </c>
      <c r="N16" s="3">
        <f t="shared" si="11"/>
        <v>285119.26061052864</v>
      </c>
      <c r="O16" s="3">
        <f t="shared" si="11"/>
        <v>357218.383983306</v>
      </c>
      <c r="P16" s="3">
        <f t="shared" si="11"/>
        <v>445703.67175898742</v>
      </c>
      <c r="Q16" s="3">
        <f t="shared" si="11"/>
        <v>534195.36175925261</v>
      </c>
      <c r="R16" s="3">
        <f t="shared" si="11"/>
        <v>1033883.2836393404</v>
      </c>
      <c r="X16" s="3">
        <f t="shared" si="12"/>
        <v>15132.622826081793</v>
      </c>
      <c r="Y16" s="3">
        <f t="shared" si="12"/>
        <v>47865.624837322735</v>
      </c>
      <c r="Z16" s="3">
        <f t="shared" si="12"/>
        <v>176400.81254216359</v>
      </c>
      <c r="AA16" s="3">
        <f t="shared" si="2"/>
        <v>310359.31200173072</v>
      </c>
      <c r="AB16" s="3">
        <f t="shared" si="2"/>
        <v>325188.96851682657</v>
      </c>
      <c r="AC16" s="3">
        <f t="shared" si="2"/>
        <v>449508.26088912808</v>
      </c>
      <c r="AD16" s="3">
        <f t="shared" si="2"/>
        <v>580078.81060778291</v>
      </c>
      <c r="AE16" s="3">
        <f t="shared" si="2"/>
        <v>724442.64916910266</v>
      </c>
      <c r="AF16" s="3">
        <f t="shared" si="2"/>
        <v>861053.5629337898</v>
      </c>
      <c r="AG16" s="3">
        <f t="shared" si="2"/>
        <v>1064213.8401530932</v>
      </c>
      <c r="AH16" s="3">
        <f t="shared" si="2"/>
        <v>813738.56286465039</v>
      </c>
      <c r="AI16" s="3">
        <f t="shared" si="3"/>
        <v>4563398.3105164627</v>
      </c>
      <c r="AJ16" s="3">
        <f t="shared" si="18"/>
        <v>354232.74293254747</v>
      </c>
      <c r="AK16" s="3">
        <f t="shared" si="13"/>
        <v>4540870.3047469929</v>
      </c>
      <c r="AL16" s="5">
        <f t="shared" si="14"/>
        <v>0.99506332688129517</v>
      </c>
      <c r="AM16" s="3">
        <f t="shared" si="4"/>
        <v>-22528.005769469775</v>
      </c>
      <c r="AN16" s="6">
        <f t="shared" si="15"/>
        <v>1.6386164402903944</v>
      </c>
    </row>
    <row r="17" spans="1:40" x14ac:dyDescent="0.55000000000000004">
      <c r="A17">
        <v>86</v>
      </c>
      <c r="B17">
        <v>15.2</v>
      </c>
      <c r="C17" s="3">
        <f t="shared" si="5"/>
        <v>4128943.6748516951</v>
      </c>
      <c r="D17" s="3">
        <f t="shared" si="6"/>
        <v>271641.03124024312</v>
      </c>
      <c r="E17" s="3">
        <f t="shared" si="7"/>
        <v>127167.64388763889</v>
      </c>
      <c r="F17" s="3">
        <f t="shared" si="16"/>
        <v>253703.32164458191</v>
      </c>
      <c r="G17" s="3">
        <f t="shared" si="17"/>
        <v>16691.00800293302</v>
      </c>
      <c r="H17" s="3">
        <f t="shared" si="1"/>
        <v>4005.8419207039246</v>
      </c>
      <c r="J17" s="3">
        <f t="shared" si="8"/>
        <v>11902.131138881621</v>
      </c>
      <c r="K17" s="3">
        <f t="shared" si="9"/>
        <v>159723.22000284414</v>
      </c>
      <c r="L17" s="3">
        <f t="shared" si="10"/>
        <v>2746.9911704445581</v>
      </c>
      <c r="M17" s="3">
        <f t="shared" si="0"/>
        <v>418246.67430125957</v>
      </c>
      <c r="N17" s="3">
        <f t="shared" si="11"/>
        <v>292247.24212579185</v>
      </c>
      <c r="O17" s="3">
        <f t="shared" si="11"/>
        <v>366148.8435828886</v>
      </c>
      <c r="P17" s="3">
        <f t="shared" si="11"/>
        <v>456846.26355296205</v>
      </c>
      <c r="Q17" s="3">
        <f t="shared" si="11"/>
        <v>547550.24580323393</v>
      </c>
      <c r="R17" s="3">
        <f t="shared" si="11"/>
        <v>1059730.3657303238</v>
      </c>
      <c r="X17" s="3">
        <f t="shared" si="12"/>
        <v>15510.938396733836</v>
      </c>
      <c r="Y17" s="3">
        <f t="shared" si="12"/>
        <v>49062.265458255803</v>
      </c>
      <c r="Z17" s="3">
        <f t="shared" si="12"/>
        <v>180810.83285571766</v>
      </c>
      <c r="AA17" s="3">
        <f t="shared" si="2"/>
        <v>318118.29480177397</v>
      </c>
      <c r="AB17" s="3">
        <f t="shared" si="2"/>
        <v>333318.69272974721</v>
      </c>
      <c r="AC17" s="3">
        <f t="shared" si="2"/>
        <v>460745.96741135622</v>
      </c>
      <c r="AD17" s="3">
        <f t="shared" si="2"/>
        <v>594580.78087297746</v>
      </c>
      <c r="AE17" s="3">
        <f t="shared" si="2"/>
        <v>742553.71539833013</v>
      </c>
      <c r="AF17" s="3">
        <f t="shared" si="2"/>
        <v>882579.90200713451</v>
      </c>
      <c r="AG17" s="3">
        <f t="shared" si="2"/>
        <v>1090819.1861569204</v>
      </c>
      <c r="AH17" s="3">
        <f t="shared" si="2"/>
        <v>834082.02693626657</v>
      </c>
      <c r="AI17" s="3">
        <f t="shared" si="3"/>
        <v>4530468.0853602393</v>
      </c>
      <c r="AJ17" s="3">
        <f t="shared" si="18"/>
        <v>382571.36236715131</v>
      </c>
      <c r="AK17" s="3">
        <f t="shared" si="13"/>
        <v>4511515.0372188464</v>
      </c>
      <c r="AL17" s="5">
        <f t="shared" si="14"/>
        <v>0.99581653644076251</v>
      </c>
      <c r="AM17" s="3">
        <f t="shared" si="4"/>
        <v>-18953.048141392879</v>
      </c>
      <c r="AN17" s="6">
        <f t="shared" si="15"/>
        <v>1.6795818512976541</v>
      </c>
    </row>
    <row r="18" spans="1:40" x14ac:dyDescent="0.55000000000000004">
      <c r="A18">
        <v>87</v>
      </c>
      <c r="B18">
        <v>14.4</v>
      </c>
      <c r="C18" s="3">
        <f t="shared" si="5"/>
        <v>4057756.9608837906</v>
      </c>
      <c r="D18" s="3">
        <f t="shared" si="6"/>
        <v>281788.67783915211</v>
      </c>
      <c r="E18" s="3">
        <f t="shared" si="7"/>
        <v>130346.83498482985</v>
      </c>
      <c r="F18" s="3">
        <f t="shared" si="16"/>
        <v>255973.29873298082</v>
      </c>
      <c r="G18" s="3">
        <f t="shared" si="17"/>
        <v>17775.923523123667</v>
      </c>
      <c r="H18" s="3">
        <f t="shared" si="1"/>
        <v>4266.22164554968</v>
      </c>
      <c r="J18" s="3">
        <f t="shared" si="8"/>
        <v>12685.166082229096</v>
      </c>
      <c r="K18" s="3">
        <f t="shared" si="9"/>
        <v>184585.68437809005</v>
      </c>
      <c r="L18" s="3">
        <f t="shared" si="10"/>
        <v>3194.4644000568828</v>
      </c>
      <c r="M18" s="3">
        <f t="shared" si="0"/>
        <v>433105.90074716246</v>
      </c>
      <c r="N18" s="3">
        <f t="shared" si="11"/>
        <v>299553.42317893665</v>
      </c>
      <c r="O18" s="3">
        <f t="shared" si="11"/>
        <v>375302.56467246078</v>
      </c>
      <c r="P18" s="3">
        <f t="shared" si="11"/>
        <v>468267.42014178605</v>
      </c>
      <c r="Q18" s="3">
        <f t="shared" si="11"/>
        <v>561239.00194831472</v>
      </c>
      <c r="R18" s="3">
        <f t="shared" si="11"/>
        <v>1086223.6248735818</v>
      </c>
      <c r="X18" s="3">
        <f t="shared" si="12"/>
        <v>15898.71185665218</v>
      </c>
      <c r="Y18" s="3">
        <f t="shared" si="12"/>
        <v>50288.822094712195</v>
      </c>
      <c r="Z18" s="3">
        <f t="shared" si="12"/>
        <v>185331.10367711057</v>
      </c>
      <c r="AA18" s="3">
        <f t="shared" si="2"/>
        <v>326071.25217181828</v>
      </c>
      <c r="AB18" s="3">
        <f t="shared" si="2"/>
        <v>341651.66004799085</v>
      </c>
      <c r="AC18" s="3">
        <f t="shared" si="2"/>
        <v>472264.61659664009</v>
      </c>
      <c r="AD18" s="3">
        <f t="shared" si="2"/>
        <v>609445.30039480189</v>
      </c>
      <c r="AE18" s="3">
        <f t="shared" si="2"/>
        <v>761117.55828328826</v>
      </c>
      <c r="AF18" s="3">
        <f t="shared" si="2"/>
        <v>904644.39955731283</v>
      </c>
      <c r="AG18" s="3">
        <f t="shared" si="2"/>
        <v>1118089.6658108432</v>
      </c>
      <c r="AH18" s="3">
        <f t="shared" si="2"/>
        <v>854934.07760967314</v>
      </c>
      <c r="AI18" s="3">
        <f t="shared" si="3"/>
        <v>4485630.7779126326</v>
      </c>
      <c r="AJ18" s="3">
        <f t="shared" si="18"/>
        <v>413177.07135652343</v>
      </c>
      <c r="AK18" s="3">
        <f t="shared" si="13"/>
        <v>4470934.0322403144</v>
      </c>
      <c r="AL18" s="5">
        <f t="shared" si="14"/>
        <v>0.9967235944285282</v>
      </c>
      <c r="AM18" s="3">
        <f t="shared" si="4"/>
        <v>-14696.745672318153</v>
      </c>
      <c r="AN18" s="6">
        <f t="shared" si="15"/>
        <v>1.7215713975800953</v>
      </c>
    </row>
    <row r="19" spans="1:40" x14ac:dyDescent="0.55000000000000004">
      <c r="A19">
        <v>88</v>
      </c>
      <c r="B19">
        <v>13.6</v>
      </c>
      <c r="C19" s="3">
        <f t="shared" si="5"/>
        <v>3972195.8581542368</v>
      </c>
      <c r="D19" s="3">
        <f t="shared" si="6"/>
        <v>292073.22486428212</v>
      </c>
      <c r="E19" s="3">
        <f t="shared" si="7"/>
        <v>133605.50585945058</v>
      </c>
      <c r="F19" s="3">
        <f t="shared" si="16"/>
        <v>257253.16522664574</v>
      </c>
      <c r="G19" s="3">
        <f t="shared" si="17"/>
        <v>18915.673913723953</v>
      </c>
      <c r="H19" s="3">
        <f t="shared" si="1"/>
        <v>4539.7617392937482</v>
      </c>
      <c r="J19" s="3">
        <f t="shared" si="8"/>
        <v>13509.701877573987</v>
      </c>
      <c r="K19" s="3">
        <f t="shared" si="9"/>
        <v>212168.19883264962</v>
      </c>
      <c r="L19" s="3">
        <f t="shared" si="10"/>
        <v>3691.7136875618012</v>
      </c>
      <c r="M19" s="3">
        <f t="shared" si="0"/>
        <v>448286.1183250185</v>
      </c>
      <c r="N19" s="3">
        <f t="shared" si="11"/>
        <v>307042.25875841005</v>
      </c>
      <c r="O19" s="3">
        <f t="shared" si="11"/>
        <v>384685.12878927228</v>
      </c>
      <c r="P19" s="3">
        <f t="shared" si="11"/>
        <v>479974.10564533068</v>
      </c>
      <c r="Q19" s="3">
        <f t="shared" si="11"/>
        <v>575269.97699702252</v>
      </c>
      <c r="R19" s="3">
        <f t="shared" si="11"/>
        <v>1113379.2154954213</v>
      </c>
      <c r="X19" s="3">
        <f t="shared" si="12"/>
        <v>16296.179653068484</v>
      </c>
      <c r="Y19" s="3">
        <f t="shared" si="12"/>
        <v>51546.042647079994</v>
      </c>
      <c r="Z19" s="3">
        <f t="shared" si="12"/>
        <v>189964.38126903831</v>
      </c>
      <c r="AA19" s="3">
        <f t="shared" si="2"/>
        <v>334223.03347611369</v>
      </c>
      <c r="AB19" s="3">
        <f t="shared" si="2"/>
        <v>350192.95154919062</v>
      </c>
      <c r="AC19" s="3">
        <f t="shared" si="2"/>
        <v>484071.23201155604</v>
      </c>
      <c r="AD19" s="3">
        <f t="shared" si="2"/>
        <v>624681.43290467188</v>
      </c>
      <c r="AE19" s="3">
        <f t="shared" si="2"/>
        <v>780145.49724037037</v>
      </c>
      <c r="AF19" s="3">
        <f t="shared" si="2"/>
        <v>927260.50954624556</v>
      </c>
      <c r="AG19" s="3">
        <f t="shared" si="2"/>
        <v>1146041.9074561142</v>
      </c>
      <c r="AH19" s="3">
        <f t="shared" si="2"/>
        <v>876307.4295499149</v>
      </c>
      <c r="AI19" s="3">
        <f t="shared" si="3"/>
        <v>4428107.5203359574</v>
      </c>
      <c r="AJ19" s="3">
        <f t="shared" si="18"/>
        <v>446231.23706504534</v>
      </c>
      <c r="AK19" s="3">
        <f t="shared" si="13"/>
        <v>4418427.0952192824</v>
      </c>
      <c r="AL19" s="5">
        <f t="shared" si="14"/>
        <v>0.99781386854943832</v>
      </c>
      <c r="AM19" s="3">
        <f t="shared" si="4"/>
        <v>-9680.4251166749746</v>
      </c>
      <c r="AN19" s="6">
        <f t="shared" si="15"/>
        <v>1.7646106825195975</v>
      </c>
    </row>
    <row r="20" spans="1:40" x14ac:dyDescent="0.55000000000000004">
      <c r="A20">
        <v>89</v>
      </c>
      <c r="B20">
        <v>12.9</v>
      </c>
      <c r="C20" s="3">
        <f t="shared" si="5"/>
        <v>3871369.3510336108</v>
      </c>
      <c r="D20" s="3">
        <f t="shared" si="6"/>
        <v>300106.15124291554</v>
      </c>
      <c r="E20" s="3">
        <f t="shared" si="7"/>
        <v>136945.64350593684</v>
      </c>
      <c r="F20" s="3">
        <f t="shared" si="16"/>
        <v>257404.49061795554</v>
      </c>
      <c r="G20" s="3">
        <f t="shared" si="17"/>
        <v>19953.836482012055</v>
      </c>
      <c r="H20" s="3">
        <f t="shared" si="1"/>
        <v>4788.9207556828933</v>
      </c>
      <c r="J20" s="3">
        <f t="shared" si="8"/>
        <v>14375.912174430205</v>
      </c>
      <c r="K20" s="3">
        <f t="shared" si="9"/>
        <v>242719.81448608101</v>
      </c>
      <c r="L20" s="3">
        <f t="shared" si="10"/>
        <v>4243.3639766529923</v>
      </c>
      <c r="M20" s="3">
        <f t="shared" si="0"/>
        <v>461248.99520751741</v>
      </c>
      <c r="N20" s="3">
        <f t="shared" si="11"/>
        <v>314718.3152273703</v>
      </c>
      <c r="O20" s="3">
        <f t="shared" si="11"/>
        <v>394302.25700900407</v>
      </c>
      <c r="P20" s="3">
        <f t="shared" si="11"/>
        <v>491973.45828646392</v>
      </c>
      <c r="Q20" s="3">
        <f t="shared" si="11"/>
        <v>589651.72642194806</v>
      </c>
      <c r="R20" s="3">
        <f t="shared" si="11"/>
        <v>1141213.6958828068</v>
      </c>
      <c r="X20" s="3">
        <f t="shared" si="12"/>
        <v>16703.584144395194</v>
      </c>
      <c r="Y20" s="3">
        <f t="shared" si="12"/>
        <v>52834.693713256987</v>
      </c>
      <c r="Z20" s="3">
        <f t="shared" si="12"/>
        <v>194713.49080076424</v>
      </c>
      <c r="AA20" s="3">
        <f t="shared" si="12"/>
        <v>342578.60931301652</v>
      </c>
      <c r="AB20" s="3">
        <f t="shared" si="12"/>
        <v>358947.77533792035</v>
      </c>
      <c r="AC20" s="3">
        <f t="shared" si="12"/>
        <v>496173.01281184488</v>
      </c>
      <c r="AD20" s="3">
        <f t="shared" si="12"/>
        <v>640298.46872728865</v>
      </c>
      <c r="AE20" s="3">
        <f t="shared" si="12"/>
        <v>799649.13467137958</v>
      </c>
      <c r="AF20" s="3">
        <f t="shared" si="12"/>
        <v>950442.02228490158</v>
      </c>
      <c r="AG20" s="3">
        <f t="shared" si="12"/>
        <v>1174692.9551425169</v>
      </c>
      <c r="AH20" s="3">
        <f t="shared" si="12"/>
        <v>898215.11528866272</v>
      </c>
      <c r="AI20" s="3">
        <f t="shared" si="3"/>
        <v>4357117.7439632174</v>
      </c>
      <c r="AJ20" s="3">
        <f t="shared" si="18"/>
        <v>481929.73603024898</v>
      </c>
      <c r="AK20" s="3">
        <f t="shared" si="13"/>
        <v>4353299.0870638601</v>
      </c>
      <c r="AL20" s="5">
        <f t="shared" si="14"/>
        <v>0.99912358188973704</v>
      </c>
      <c r="AM20" s="3">
        <f t="shared" si="4"/>
        <v>-3818.6568993572146</v>
      </c>
      <c r="AN20" s="6">
        <f t="shared" si="15"/>
        <v>1.8087259495825874</v>
      </c>
    </row>
    <row r="21" spans="1:40" x14ac:dyDescent="0.55000000000000004">
      <c r="A21">
        <v>90</v>
      </c>
      <c r="B21">
        <v>12.1</v>
      </c>
      <c r="C21" s="3">
        <f t="shared" si="5"/>
        <v>3756852.7665568702</v>
      </c>
      <c r="D21" s="3">
        <f t="shared" si="6"/>
        <v>310483.69971544383</v>
      </c>
      <c r="E21" s="3">
        <f t="shared" si="7"/>
        <v>140369.28459358524</v>
      </c>
      <c r="F21" s="3">
        <f t="shared" si="16"/>
        <v>256446.70646681899</v>
      </c>
      <c r="G21" s="3">
        <f t="shared" si="17"/>
        <v>21193.942683208181</v>
      </c>
      <c r="H21" s="3">
        <f t="shared" si="1"/>
        <v>5086.5462439699631</v>
      </c>
      <c r="J21" s="3">
        <f t="shared" si="8"/>
        <v>15164.915726329162</v>
      </c>
      <c r="K21" s="3">
        <f t="shared" si="9"/>
        <v>276389.68886882899</v>
      </c>
      <c r="L21" s="3">
        <f t="shared" si="10"/>
        <v>4854.3962897216206</v>
      </c>
      <c r="M21" s="3">
        <f t="shared" si="0"/>
        <v>476901.32328195882</v>
      </c>
      <c r="N21" s="3">
        <f t="shared" ref="N21:R31" si="19">N20*1.025</f>
        <v>322586.27310805453</v>
      </c>
      <c r="O21" s="3">
        <f t="shared" si="19"/>
        <v>404159.81343422912</v>
      </c>
      <c r="P21" s="3">
        <f t="shared" si="19"/>
        <v>504272.79474362551</v>
      </c>
      <c r="Q21" s="3">
        <f t="shared" si="19"/>
        <v>604393.01958249672</v>
      </c>
      <c r="R21" s="3">
        <f t="shared" si="19"/>
        <v>1169744.0382798768</v>
      </c>
      <c r="X21" s="3">
        <f t="shared" ref="X21:AH31" si="20">X20*1.025</f>
        <v>17121.173748005072</v>
      </c>
      <c r="Y21" s="3">
        <f t="shared" si="20"/>
        <v>54155.561056088409</v>
      </c>
      <c r="Z21" s="3">
        <f t="shared" si="20"/>
        <v>199581.32807078332</v>
      </c>
      <c r="AA21" s="3">
        <f t="shared" si="20"/>
        <v>351143.0745458419</v>
      </c>
      <c r="AB21" s="3">
        <f t="shared" si="20"/>
        <v>367921.46972136834</v>
      </c>
      <c r="AC21" s="3">
        <f t="shared" si="20"/>
        <v>508577.33813214098</v>
      </c>
      <c r="AD21" s="3">
        <f t="shared" si="20"/>
        <v>656305.93044547085</v>
      </c>
      <c r="AE21" s="3">
        <f t="shared" si="20"/>
        <v>819640.36303816398</v>
      </c>
      <c r="AF21" s="3">
        <f t="shared" si="20"/>
        <v>974203.07284202403</v>
      </c>
      <c r="AG21" s="3">
        <f t="shared" si="20"/>
        <v>1204060.2790210797</v>
      </c>
      <c r="AH21" s="3">
        <f t="shared" si="20"/>
        <v>920670.4931708792</v>
      </c>
      <c r="AI21" s="3">
        <f t="shared" si="3"/>
        <v>4274524.2461661892</v>
      </c>
      <c r="AJ21" s="3">
        <f t="shared" si="18"/>
        <v>520484.11491266894</v>
      </c>
      <c r="AK21" s="3">
        <f t="shared" si="13"/>
        <v>4277336.8814695394</v>
      </c>
      <c r="AL21" s="5">
        <f t="shared" si="14"/>
        <v>1.0006579996138454</v>
      </c>
      <c r="AM21" s="3">
        <f t="shared" si="4"/>
        <v>2812.6353033501655</v>
      </c>
      <c r="AN21" s="6">
        <f t="shared" si="15"/>
        <v>1.8539440983221518</v>
      </c>
    </row>
    <row r="22" spans="1:40" x14ac:dyDescent="0.55000000000000004">
      <c r="A22">
        <v>91</v>
      </c>
      <c r="B22">
        <v>11.4</v>
      </c>
      <c r="C22" s="3">
        <f t="shared" si="5"/>
        <v>3625468.1996269724</v>
      </c>
      <c r="D22" s="3">
        <f t="shared" si="6"/>
        <v>318023.52628306777</v>
      </c>
      <c r="E22" s="3">
        <f t="shared" si="7"/>
        <v>143878.51670842487</v>
      </c>
      <c r="F22" s="3">
        <f t="shared" si="16"/>
        <v>254072.98488629967</v>
      </c>
      <c r="G22" s="3">
        <f t="shared" si="17"/>
        <v>22287.103937394706</v>
      </c>
      <c r="H22" s="3">
        <f t="shared" si="1"/>
        <v>5348.904944974729</v>
      </c>
      <c r="J22" s="3">
        <f t="shared" si="8"/>
        <v>16107.396439238219</v>
      </c>
      <c r="K22" s="3">
        <f t="shared" si="9"/>
        <v>313569.03518742672</v>
      </c>
      <c r="L22" s="3">
        <f t="shared" si="10"/>
        <v>5527.7937773765798</v>
      </c>
      <c r="M22" s="3">
        <f t="shared" si="0"/>
        <v>489716.94070626394</v>
      </c>
      <c r="N22" s="3">
        <f t="shared" si="19"/>
        <v>330650.92993575585</v>
      </c>
      <c r="O22" s="3">
        <f t="shared" si="19"/>
        <v>414263.80877008481</v>
      </c>
      <c r="P22" s="3">
        <f t="shared" si="19"/>
        <v>516879.61461221607</v>
      </c>
      <c r="Q22" s="3">
        <f t="shared" si="19"/>
        <v>619502.84507205908</v>
      </c>
      <c r="R22" s="3">
        <f t="shared" si="19"/>
        <v>1198987.6392368737</v>
      </c>
      <c r="X22" s="3">
        <f t="shared" si="20"/>
        <v>17549.203091705196</v>
      </c>
      <c r="Y22" s="3">
        <f t="shared" si="20"/>
        <v>55509.450082490614</v>
      </c>
      <c r="Z22" s="3">
        <f t="shared" si="20"/>
        <v>204570.86127255289</v>
      </c>
      <c r="AA22" s="3">
        <f t="shared" si="20"/>
        <v>359921.65140948794</v>
      </c>
      <c r="AB22" s="3">
        <f t="shared" si="20"/>
        <v>377119.50646440254</v>
      </c>
      <c r="AC22" s="3">
        <f t="shared" si="20"/>
        <v>521291.77158544445</v>
      </c>
      <c r="AD22" s="3">
        <f t="shared" si="20"/>
        <v>672713.57870660757</v>
      </c>
      <c r="AE22" s="3">
        <f t="shared" si="20"/>
        <v>840131.37211411796</v>
      </c>
      <c r="AF22" s="3">
        <f t="shared" si="20"/>
        <v>998558.14966307452</v>
      </c>
      <c r="AG22" s="3">
        <f t="shared" si="20"/>
        <v>1234161.7859966066</v>
      </c>
      <c r="AH22" s="3">
        <f t="shared" si="20"/>
        <v>943687.25550015108</v>
      </c>
      <c r="AI22" s="3">
        <f t="shared" si="3"/>
        <v>4177002.8232614603</v>
      </c>
      <c r="AJ22" s="3">
        <f t="shared" si="18"/>
        <v>562122.84410568245</v>
      </c>
      <c r="AK22" s="3">
        <f t="shared" si="13"/>
        <v>4187591.0437326548</v>
      </c>
      <c r="AL22" s="5">
        <f t="shared" si="14"/>
        <v>1.0025348846814826</v>
      </c>
      <c r="AM22" s="3">
        <f t="shared" si="4"/>
        <v>10588.22047119448</v>
      </c>
      <c r="AN22" s="6">
        <f t="shared" si="15"/>
        <v>1.9002927007802055</v>
      </c>
    </row>
    <row r="23" spans="1:40" x14ac:dyDescent="0.55000000000000004">
      <c r="A23">
        <v>92</v>
      </c>
      <c r="B23">
        <v>10.8</v>
      </c>
      <c r="C23" s="3">
        <f t="shared" si="5"/>
        <v>3479324.2547942339</v>
      </c>
      <c r="D23" s="3">
        <f t="shared" si="6"/>
        <v>322159.65322168829</v>
      </c>
      <c r="E23" s="3">
        <f t="shared" si="7"/>
        <v>147475.47962613546</v>
      </c>
      <c r="F23" s="3">
        <f t="shared" si="16"/>
        <v>250328.75142481737</v>
      </c>
      <c r="G23" s="3">
        <f t="shared" si="17"/>
        <v>23178.588094890496</v>
      </c>
      <c r="H23" s="3">
        <f t="shared" si="1"/>
        <v>5562.8611427737187</v>
      </c>
      <c r="J23" s="3">
        <f t="shared" si="8"/>
        <v>16938.198992419977</v>
      </c>
      <c r="K23" s="3">
        <f t="shared" si="9"/>
        <v>354413.73742253607</v>
      </c>
      <c r="L23" s="3">
        <f t="shared" si="10"/>
        <v>6271.3807037485349</v>
      </c>
      <c r="M23" s="3">
        <f t="shared" si="0"/>
        <v>499085.1016464628</v>
      </c>
      <c r="N23" s="3">
        <f t="shared" si="19"/>
        <v>338917.20318414969</v>
      </c>
      <c r="O23" s="3">
        <f t="shared" si="19"/>
        <v>424620.40398933692</v>
      </c>
      <c r="P23" s="3">
        <f t="shared" si="19"/>
        <v>529801.60497752146</v>
      </c>
      <c r="Q23" s="3">
        <f t="shared" si="19"/>
        <v>634990.4161988605</v>
      </c>
      <c r="R23" s="3">
        <f t="shared" si="19"/>
        <v>1228962.3302177954</v>
      </c>
      <c r="X23" s="3">
        <f t="shared" si="20"/>
        <v>17987.933168997824</v>
      </c>
      <c r="Y23" s="3">
        <f t="shared" si="20"/>
        <v>56897.186334552876</v>
      </c>
      <c r="Z23" s="3">
        <f t="shared" si="20"/>
        <v>209685.1328043667</v>
      </c>
      <c r="AA23" s="3">
        <f t="shared" si="20"/>
        <v>368919.69269472512</v>
      </c>
      <c r="AB23" s="3">
        <f t="shared" si="20"/>
        <v>386547.49412601255</v>
      </c>
      <c r="AC23" s="3">
        <f t="shared" si="20"/>
        <v>534324.06587508053</v>
      </c>
      <c r="AD23" s="3">
        <f t="shared" si="20"/>
        <v>689531.41817427275</v>
      </c>
      <c r="AE23" s="3">
        <f t="shared" si="20"/>
        <v>861134.65641697089</v>
      </c>
      <c r="AF23" s="3">
        <f t="shared" si="20"/>
        <v>1023522.1034046513</v>
      </c>
      <c r="AG23" s="3">
        <f t="shared" si="20"/>
        <v>1265015.8306465216</v>
      </c>
      <c r="AH23" s="3">
        <f t="shared" si="20"/>
        <v>967279.43688765483</v>
      </c>
      <c r="AI23" s="3">
        <f t="shared" si="3"/>
        <v>4067128.5446491675</v>
      </c>
      <c r="AJ23" s="3">
        <f t="shared" si="18"/>
        <v>607092.67163413705</v>
      </c>
      <c r="AK23" s="3">
        <f t="shared" si="13"/>
        <v>4086416.9264283711</v>
      </c>
      <c r="AL23" s="5">
        <f t="shared" si="14"/>
        <v>1.0047425060623127</v>
      </c>
      <c r="AM23" s="3">
        <f t="shared" si="4"/>
        <v>19288.381779203657</v>
      </c>
      <c r="AN23" s="6">
        <f t="shared" si="15"/>
        <v>1.9478000182997104</v>
      </c>
    </row>
    <row r="24" spans="1:40" x14ac:dyDescent="0.55000000000000004">
      <c r="A24">
        <v>93</v>
      </c>
      <c r="B24">
        <v>10.1</v>
      </c>
      <c r="C24" s="3">
        <f t="shared" si="5"/>
        <v>3321234.5056472979</v>
      </c>
      <c r="D24" s="3">
        <f t="shared" si="6"/>
        <v>328835.09956903942</v>
      </c>
      <c r="E24" s="3">
        <f t="shared" si="7"/>
        <v>151162.36661678884</v>
      </c>
      <c r="F24" s="3">
        <f t="shared" si="16"/>
        <v>245322.17639632104</v>
      </c>
      <c r="G24" s="3">
        <f t="shared" si="17"/>
        <v>24289.32439567535</v>
      </c>
      <c r="H24" s="3">
        <f t="shared" si="1"/>
        <v>5829.4378549620842</v>
      </c>
      <c r="J24" s="3">
        <f t="shared" si="8"/>
        <v>17615.726952116776</v>
      </c>
      <c r="K24" s="3">
        <f t="shared" si="9"/>
        <v>399049.96771574696</v>
      </c>
      <c r="L24" s="3">
        <f t="shared" si="10"/>
        <v>7088.2747484507217</v>
      </c>
      <c r="M24" s="3">
        <f t="shared" si="0"/>
        <v>511375.06532995432</v>
      </c>
      <c r="N24" s="3">
        <f t="shared" si="19"/>
        <v>347390.13326375338</v>
      </c>
      <c r="O24" s="3">
        <f t="shared" si="19"/>
        <v>435235.91408907028</v>
      </c>
      <c r="P24" s="3">
        <f t="shared" si="19"/>
        <v>543046.64510195947</v>
      </c>
      <c r="Q24" s="3">
        <f t="shared" si="19"/>
        <v>650865.17660383193</v>
      </c>
      <c r="R24" s="3">
        <f t="shared" si="19"/>
        <v>1259686.3884732402</v>
      </c>
      <c r="X24" s="3">
        <f t="shared" si="20"/>
        <v>18437.631498222767</v>
      </c>
      <c r="Y24" s="3">
        <f t="shared" si="20"/>
        <v>58319.61599291669</v>
      </c>
      <c r="Z24" s="3">
        <f t="shared" si="20"/>
        <v>214927.26112447586</v>
      </c>
      <c r="AA24" s="3">
        <f t="shared" si="20"/>
        <v>378142.68501209322</v>
      </c>
      <c r="AB24" s="3">
        <f t="shared" si="20"/>
        <v>396211.18147916283</v>
      </c>
      <c r="AC24" s="3">
        <f t="shared" si="20"/>
        <v>547682.16752195754</v>
      </c>
      <c r="AD24" s="3">
        <f t="shared" si="20"/>
        <v>706769.70362862956</v>
      </c>
      <c r="AE24" s="3">
        <f t="shared" si="20"/>
        <v>882663.02282739512</v>
      </c>
      <c r="AF24" s="3">
        <f t="shared" si="20"/>
        <v>1049110.1559897675</v>
      </c>
      <c r="AG24" s="3">
        <f t="shared" si="20"/>
        <v>1296641.2264126847</v>
      </c>
      <c r="AH24" s="3">
        <f t="shared" si="20"/>
        <v>991461.42280984612</v>
      </c>
      <c r="AI24" s="3">
        <f t="shared" si="3"/>
        <v>3947990.9228072492</v>
      </c>
      <c r="AJ24" s="3">
        <f t="shared" si="18"/>
        <v>655660.08536486805</v>
      </c>
      <c r="AK24" s="3">
        <f t="shared" si="13"/>
        <v>3976894.5910121659</v>
      </c>
      <c r="AL24" s="5">
        <f t="shared" si="14"/>
        <v>1.0073211080699154</v>
      </c>
      <c r="AM24" s="3">
        <f t="shared" si="4"/>
        <v>28903.668204916641</v>
      </c>
      <c r="AN24" s="6">
        <f t="shared" si="15"/>
        <v>1.996495018757203</v>
      </c>
    </row>
    <row r="25" spans="1:40" x14ac:dyDescent="0.55000000000000004">
      <c r="A25">
        <v>94</v>
      </c>
      <c r="B25">
        <v>9.5</v>
      </c>
      <c r="C25" s="3">
        <f t="shared" si="5"/>
        <v>3147906.8773276396</v>
      </c>
      <c r="D25" s="3">
        <f t="shared" si="6"/>
        <v>331358.61866606731</v>
      </c>
      <c r="E25" s="3">
        <f t="shared" si="7"/>
        <v>154941.42578220856</v>
      </c>
      <c r="F25" s="3">
        <f t="shared" si="16"/>
        <v>238715.48016069736</v>
      </c>
      <c r="G25" s="3">
        <f t="shared" si="17"/>
        <v>25127.945280073407</v>
      </c>
      <c r="H25" s="3">
        <f t="shared" si="1"/>
        <v>6030.7068672176174</v>
      </c>
      <c r="J25" s="3">
        <f t="shared" si="8"/>
        <v>18459.886540713265</v>
      </c>
      <c r="K25" s="3">
        <f t="shared" si="9"/>
        <v>447933.42379510874</v>
      </c>
      <c r="L25" s="3">
        <f t="shared" si="10"/>
        <v>7980.9993543149394</v>
      </c>
      <c r="M25" s="3">
        <f t="shared" si="0"/>
        <v>519408.98908266419</v>
      </c>
      <c r="N25" s="3">
        <f t="shared" si="19"/>
        <v>356074.8865953472</v>
      </c>
      <c r="O25" s="3">
        <f t="shared" si="19"/>
        <v>446116.81194129703</v>
      </c>
      <c r="P25" s="3">
        <f t="shared" si="19"/>
        <v>556622.81122950837</v>
      </c>
      <c r="Q25" s="3">
        <f t="shared" si="19"/>
        <v>667136.80601892772</v>
      </c>
      <c r="R25" s="3">
        <f t="shared" si="19"/>
        <v>1291178.548185071</v>
      </c>
      <c r="X25" s="3">
        <f t="shared" si="20"/>
        <v>18898.572285678336</v>
      </c>
      <c r="Y25" s="3">
        <f t="shared" si="20"/>
        <v>59777.606392739603</v>
      </c>
      <c r="Z25" s="3">
        <f t="shared" si="20"/>
        <v>220300.44265258775</v>
      </c>
      <c r="AA25" s="3">
        <f t="shared" si="20"/>
        <v>387596.2521373955</v>
      </c>
      <c r="AB25" s="3">
        <f t="shared" si="20"/>
        <v>406116.46101614187</v>
      </c>
      <c r="AC25" s="3">
        <f t="shared" si="20"/>
        <v>561374.22171000647</v>
      </c>
      <c r="AD25" s="3">
        <f t="shared" si="20"/>
        <v>724438.94621934521</v>
      </c>
      <c r="AE25" s="3">
        <f t="shared" si="20"/>
        <v>904729.59839807998</v>
      </c>
      <c r="AF25" s="3">
        <f t="shared" si="20"/>
        <v>1075337.9098895115</v>
      </c>
      <c r="AG25" s="3">
        <f t="shared" si="20"/>
        <v>1329057.2570730017</v>
      </c>
      <c r="AH25" s="3">
        <f t="shared" si="20"/>
        <v>1016247.9583800922</v>
      </c>
      <c r="AI25" s="3">
        <f t="shared" si="3"/>
        <v>3816095.8947427324</v>
      </c>
      <c r="AJ25" s="3">
        <f t="shared" si="18"/>
        <v>708112.89219405758</v>
      </c>
      <c r="AK25" s="3">
        <f t="shared" si="13"/>
        <v>3856019.7695216974</v>
      </c>
      <c r="AL25" s="5">
        <f t="shared" si="14"/>
        <v>1.0104619684306064</v>
      </c>
      <c r="AM25" s="3">
        <f t="shared" si="4"/>
        <v>39923.874778965022</v>
      </c>
      <c r="AN25" s="6">
        <f t="shared" si="15"/>
        <v>2.0464073942261329</v>
      </c>
    </row>
    <row r="26" spans="1:40" x14ac:dyDescent="0.55000000000000004">
      <c r="A26">
        <v>95</v>
      </c>
      <c r="B26">
        <v>8.9</v>
      </c>
      <c r="C26" s="3">
        <f t="shared" si="5"/>
        <v>2962917.1880453438</v>
      </c>
      <c r="D26" s="3">
        <f t="shared" si="6"/>
        <v>332912.04360060045</v>
      </c>
      <c r="E26" s="3">
        <f t="shared" si="7"/>
        <v>158814.96142676377</v>
      </c>
      <c r="F26" s="3">
        <f t="shared" si="16"/>
        <v>230674.53767107389</v>
      </c>
      <c r="G26" s="3">
        <f t="shared" si="17"/>
        <v>25918.487378772348</v>
      </c>
      <c r="H26" s="3">
        <f t="shared" si="1"/>
        <v>6220.4369709053635</v>
      </c>
      <c r="J26" s="3">
        <f t="shared" si="8"/>
        <v>19097.23841285579</v>
      </c>
      <c r="K26" s="3">
        <f t="shared" si="9"/>
        <v>501181.1064381036</v>
      </c>
      <c r="L26" s="3">
        <f t="shared" si="10"/>
        <v>8958.6684759021755</v>
      </c>
      <c r="M26" s="3">
        <f t="shared" si="0"/>
        <v>526604.16088203876</v>
      </c>
      <c r="N26" s="3">
        <f t="shared" si="19"/>
        <v>364976.75876023085</v>
      </c>
      <c r="O26" s="3">
        <f t="shared" si="19"/>
        <v>457269.73223982943</v>
      </c>
      <c r="P26" s="3">
        <f t="shared" si="19"/>
        <v>570538.38151024608</v>
      </c>
      <c r="Q26" s="3">
        <f t="shared" si="19"/>
        <v>683815.22616940085</v>
      </c>
      <c r="R26" s="3">
        <f t="shared" si="19"/>
        <v>1323458.0118896978</v>
      </c>
      <c r="X26" s="3">
        <f t="shared" si="20"/>
        <v>19371.036592820292</v>
      </c>
      <c r="Y26" s="3">
        <f t="shared" si="20"/>
        <v>61272.046552558088</v>
      </c>
      <c r="Z26" s="3">
        <f t="shared" si="20"/>
        <v>225807.95371890243</v>
      </c>
      <c r="AA26" s="3">
        <f t="shared" si="20"/>
        <v>397286.15844083036</v>
      </c>
      <c r="AB26" s="3">
        <f t="shared" si="20"/>
        <v>416269.37254154537</v>
      </c>
      <c r="AC26" s="3">
        <f t="shared" si="20"/>
        <v>575408.57725275657</v>
      </c>
      <c r="AD26" s="3">
        <f t="shared" si="20"/>
        <v>742549.91987482877</v>
      </c>
      <c r="AE26" s="3">
        <f t="shared" si="20"/>
        <v>927347.83835803194</v>
      </c>
      <c r="AF26" s="3">
        <f t="shared" si="20"/>
        <v>1102221.3576367493</v>
      </c>
      <c r="AG26" s="3">
        <f t="shared" si="20"/>
        <v>1362283.6884998267</v>
      </c>
      <c r="AH26" s="3">
        <f t="shared" si="20"/>
        <v>1041654.1573395943</v>
      </c>
      <c r="AI26" s="3">
        <f t="shared" si="3"/>
        <v>3675675.5937416656</v>
      </c>
      <c r="AJ26" s="3">
        <f t="shared" si="18"/>
        <v>764761.92356958229</v>
      </c>
      <c r="AK26" s="3">
        <f t="shared" si="13"/>
        <v>3727679.1116149263</v>
      </c>
      <c r="AL26" s="5">
        <f t="shared" si="14"/>
        <v>1.0141480162073617</v>
      </c>
      <c r="AM26" s="3">
        <f t="shared" si="4"/>
        <v>52003.517873260658</v>
      </c>
      <c r="AN26" s="6">
        <f t="shared" si="15"/>
        <v>2.0975675790817863</v>
      </c>
    </row>
    <row r="27" spans="1:40" x14ac:dyDescent="0.55000000000000004">
      <c r="A27">
        <v>96</v>
      </c>
      <c r="B27">
        <v>8.3000000000000007</v>
      </c>
      <c r="C27" s="3">
        <f t="shared" si="5"/>
        <v>2766679.8973385985</v>
      </c>
      <c r="D27" s="3">
        <f t="shared" si="6"/>
        <v>333334.92739019258</v>
      </c>
      <c r="E27" s="3">
        <f t="shared" si="7"/>
        <v>162785.33546243285</v>
      </c>
      <c r="F27" s="3">
        <f t="shared" si="16"/>
        <v>221136.53431568568</v>
      </c>
      <c r="G27" s="3">
        <f t="shared" si="17"/>
        <v>26642.955941648874</v>
      </c>
      <c r="H27" s="3">
        <f t="shared" si="1"/>
        <v>6394.3094259957297</v>
      </c>
      <c r="J27" s="3">
        <f t="shared" si="8"/>
        <v>19698.050407866984</v>
      </c>
      <c r="K27" s="3">
        <f t="shared" si="9"/>
        <v>559089.20440081146</v>
      </c>
      <c r="L27" s="3">
        <f t="shared" si="10"/>
        <v>10023.622128762072</v>
      </c>
      <c r="M27" s="3">
        <f t="shared" si="0"/>
        <v>532786.84092303645</v>
      </c>
      <c r="N27" s="3">
        <f t="shared" si="19"/>
        <v>374101.1777292366</v>
      </c>
      <c r="O27" s="3">
        <f t="shared" si="19"/>
        <v>468701.47554582515</v>
      </c>
      <c r="P27" s="3">
        <f t="shared" si="19"/>
        <v>584801.84104800213</v>
      </c>
      <c r="Q27" s="3">
        <f t="shared" si="19"/>
        <v>700910.60682363575</v>
      </c>
      <c r="R27" s="3">
        <f t="shared" si="19"/>
        <v>1356544.46218694</v>
      </c>
      <c r="X27" s="3">
        <f t="shared" si="20"/>
        <v>19855.312507640796</v>
      </c>
      <c r="Y27" s="3">
        <f t="shared" si="20"/>
        <v>62803.847716372031</v>
      </c>
      <c r="Z27" s="3">
        <f t="shared" si="20"/>
        <v>231453.15256187497</v>
      </c>
      <c r="AA27" s="3">
        <f t="shared" si="20"/>
        <v>407218.31240185106</v>
      </c>
      <c r="AB27" s="3">
        <f t="shared" si="20"/>
        <v>426676.10685508396</v>
      </c>
      <c r="AC27" s="3">
        <f t="shared" si="20"/>
        <v>589793.79168407549</v>
      </c>
      <c r="AD27" s="3">
        <f t="shared" si="20"/>
        <v>761113.66787169944</v>
      </c>
      <c r="AE27" s="3">
        <f t="shared" si="20"/>
        <v>950531.53431698261</v>
      </c>
      <c r="AF27" s="3">
        <f t="shared" si="20"/>
        <v>1129776.891577668</v>
      </c>
      <c r="AG27" s="3">
        <f t="shared" si="20"/>
        <v>1396340.7807123223</v>
      </c>
      <c r="AH27" s="3">
        <f t="shared" si="20"/>
        <v>1067695.5112730842</v>
      </c>
      <c r="AI27" s="3">
        <f t="shared" si="3"/>
        <v>3527207.5856472286</v>
      </c>
      <c r="AJ27" s="3">
        <f t="shared" si="18"/>
        <v>825942.87745514896</v>
      </c>
      <c r="AK27" s="3">
        <f t="shared" si="13"/>
        <v>3592622.7747937473</v>
      </c>
      <c r="AL27" s="5">
        <f t="shared" si="14"/>
        <v>1.0185458858199057</v>
      </c>
      <c r="AM27" s="3">
        <f t="shared" si="4"/>
        <v>65415.189146518707</v>
      </c>
      <c r="AN27" s="6">
        <f t="shared" si="15"/>
        <v>2.1500067685588307</v>
      </c>
    </row>
    <row r="28" spans="1:40" x14ac:dyDescent="0.55000000000000004">
      <c r="A28">
        <v>97</v>
      </c>
      <c r="B28">
        <v>7.8</v>
      </c>
      <c r="C28" s="3">
        <f t="shared" si="5"/>
        <v>2559799.7881740252</v>
      </c>
      <c r="D28" s="3">
        <f t="shared" si="6"/>
        <v>328179.46002231096</v>
      </c>
      <c r="E28" s="3">
        <f t="shared" si="7"/>
        <v>166854.96884899365</v>
      </c>
      <c r="F28" s="3">
        <f t="shared" si="16"/>
        <v>210053.06464395978</v>
      </c>
      <c r="G28" s="3">
        <f t="shared" si="17"/>
        <v>26929.880082558946</v>
      </c>
      <c r="H28" s="3">
        <f t="shared" si="1"/>
        <v>6463.1712198141468</v>
      </c>
      <c r="J28" s="3">
        <f t="shared" si="8"/>
        <v>20248.646515653145</v>
      </c>
      <c r="K28" s="3">
        <f t="shared" si="9"/>
        <v>621962.81185998244</v>
      </c>
      <c r="L28" s="3">
        <f t="shared" si="10"/>
        <v>11181.784088016229</v>
      </c>
      <c r="M28" s="3">
        <f t="shared" si="0"/>
        <v>533146.09304187982</v>
      </c>
      <c r="N28" s="3">
        <f t="shared" si="19"/>
        <v>383453.70717246749</v>
      </c>
      <c r="O28" s="3">
        <f t="shared" si="19"/>
        <v>480419.01243447076</v>
      </c>
      <c r="P28" s="3">
        <f t="shared" si="19"/>
        <v>599421.88707420218</v>
      </c>
      <c r="Q28" s="3">
        <f t="shared" si="19"/>
        <v>718433.37199422659</v>
      </c>
      <c r="R28" s="3">
        <f t="shared" si="19"/>
        <v>1390458.0737416134</v>
      </c>
      <c r="X28" s="3">
        <f t="shared" si="20"/>
        <v>20351.695320331815</v>
      </c>
      <c r="Y28" s="3">
        <f t="shared" si="20"/>
        <v>64373.943909281326</v>
      </c>
      <c r="Z28" s="3">
        <f t="shared" si="20"/>
        <v>237239.48137592184</v>
      </c>
      <c r="AA28" s="3">
        <f t="shared" si="20"/>
        <v>417398.77021189732</v>
      </c>
      <c r="AB28" s="3">
        <f t="shared" si="20"/>
        <v>437343.00952646101</v>
      </c>
      <c r="AC28" s="3">
        <f t="shared" si="20"/>
        <v>604538.63647617737</v>
      </c>
      <c r="AD28" s="3">
        <f t="shared" si="20"/>
        <v>780141.50956849183</v>
      </c>
      <c r="AE28" s="3">
        <f t="shared" si="20"/>
        <v>974294.82267490705</v>
      </c>
      <c r="AF28" s="3">
        <f t="shared" si="20"/>
        <v>1158021.3138671096</v>
      </c>
      <c r="AG28" s="3">
        <f t="shared" si="20"/>
        <v>1431249.3002301303</v>
      </c>
      <c r="AH28" s="3">
        <f t="shared" si="20"/>
        <v>1094387.8990549112</v>
      </c>
      <c r="AI28" s="3">
        <f t="shared" si="3"/>
        <v>3371567.0181623148</v>
      </c>
      <c r="AJ28" s="3">
        <f t="shared" si="18"/>
        <v>892018.30765156099</v>
      </c>
      <c r="AK28" s="3">
        <f t="shared" si="13"/>
        <v>3451818.0958255865</v>
      </c>
      <c r="AL28" s="5">
        <f t="shared" si="14"/>
        <v>1.0238023083127124</v>
      </c>
      <c r="AM28" s="3">
        <f t="shared" si="4"/>
        <v>80251.077663271688</v>
      </c>
      <c r="AN28" s="6">
        <f t="shared" si="15"/>
        <v>2.203756937772801</v>
      </c>
    </row>
    <row r="29" spans="1:40" x14ac:dyDescent="0.55000000000000004">
      <c r="A29">
        <v>98</v>
      </c>
      <c r="B29">
        <v>7.3</v>
      </c>
      <c r="C29" s="3">
        <f t="shared" si="5"/>
        <v>2347592.0240806332</v>
      </c>
      <c r="D29" s="3">
        <f t="shared" si="6"/>
        <v>321587.94850419636</v>
      </c>
      <c r="E29" s="3">
        <f t="shared" si="7"/>
        <v>171026.34307021849</v>
      </c>
      <c r="F29" s="3">
        <f t="shared" si="16"/>
        <v>197773.03932631289</v>
      </c>
      <c r="G29" s="3">
        <f t="shared" si="17"/>
        <v>27092.19716798807</v>
      </c>
      <c r="H29" s="3">
        <f t="shared" si="1"/>
        <v>6502.1273203171368</v>
      </c>
      <c r="J29" s="3">
        <f t="shared" si="8"/>
        <v>20466.708862744799</v>
      </c>
      <c r="K29" s="3">
        <f t="shared" si="9"/>
        <v>689847.96549893229</v>
      </c>
      <c r="L29" s="3">
        <f t="shared" si="10"/>
        <v>12439.256237199648</v>
      </c>
      <c r="M29" s="3">
        <f t="shared" si="0"/>
        <v>532145.74497960252</v>
      </c>
      <c r="N29" s="3">
        <f t="shared" si="19"/>
        <v>393040.04985177913</v>
      </c>
      <c r="O29" s="3">
        <f t="shared" si="19"/>
        <v>492429.48774533247</v>
      </c>
      <c r="P29" s="3">
        <f t="shared" si="19"/>
        <v>614407.43425105722</v>
      </c>
      <c r="Q29" s="3">
        <f t="shared" si="19"/>
        <v>736394.20629408222</v>
      </c>
      <c r="R29" s="3">
        <f t="shared" si="19"/>
        <v>1425219.5255851536</v>
      </c>
      <c r="X29" s="3">
        <f t="shared" si="20"/>
        <v>20860.48770334011</v>
      </c>
      <c r="Y29" s="3">
        <f t="shared" si="20"/>
        <v>65983.29250701335</v>
      </c>
      <c r="Z29" s="3">
        <f t="shared" si="20"/>
        <v>243170.46841031985</v>
      </c>
      <c r="AA29" s="3">
        <f t="shared" si="20"/>
        <v>427833.73946719471</v>
      </c>
      <c r="AB29" s="3">
        <f t="shared" si="20"/>
        <v>448276.5847646225</v>
      </c>
      <c r="AC29" s="3">
        <f t="shared" si="20"/>
        <v>619652.10238808172</v>
      </c>
      <c r="AD29" s="3">
        <f t="shared" si="20"/>
        <v>799645.04730770411</v>
      </c>
      <c r="AE29" s="3">
        <f t="shared" si="20"/>
        <v>998652.19324177969</v>
      </c>
      <c r="AF29" s="3">
        <f t="shared" si="20"/>
        <v>1186971.8467137872</v>
      </c>
      <c r="AG29" s="3">
        <f t="shared" si="20"/>
        <v>1467030.5327358835</v>
      </c>
      <c r="AH29" s="3">
        <f t="shared" si="20"/>
        <v>1121747.5965312838</v>
      </c>
      <c r="AI29" s="3">
        <f t="shared" si="3"/>
        <v>3214746.3200431336</v>
      </c>
      <c r="AJ29" s="3">
        <f t="shared" si="18"/>
        <v>963379.77226368594</v>
      </c>
      <c r="AK29" s="3">
        <f t="shared" si="13"/>
        <v>3310971.7963443194</v>
      </c>
      <c r="AL29" s="5">
        <f t="shared" si="14"/>
        <v>1.0299325255312508</v>
      </c>
      <c r="AM29" s="3">
        <f t="shared" si="4"/>
        <v>96225.476301185787</v>
      </c>
      <c r="AN29" s="6">
        <f t="shared" si="15"/>
        <v>2.258850861217121</v>
      </c>
    </row>
    <row r="30" spans="1:40" x14ac:dyDescent="0.55000000000000004">
      <c r="A30">
        <v>99</v>
      </c>
      <c r="B30">
        <v>6.8</v>
      </c>
      <c r="C30" s="3">
        <f t="shared" si="5"/>
        <v>2131290.4119838942</v>
      </c>
      <c r="D30" s="3">
        <f t="shared" si="6"/>
        <v>313425.0605858668</v>
      </c>
      <c r="E30" s="3">
        <f t="shared" si="7"/>
        <v>175302.00164697392</v>
      </c>
      <c r="F30" s="3">
        <f t="shared" si="16"/>
        <v>184335.30953099081</v>
      </c>
      <c r="G30" s="3">
        <f t="shared" si="17"/>
        <v>27108.133754557472</v>
      </c>
      <c r="H30" s="3">
        <f t="shared" si="1"/>
        <v>6505.9521010937933</v>
      </c>
      <c r="I30" s="3">
        <f>T30</f>
        <v>5876.2875729132911</v>
      </c>
      <c r="J30" s="3">
        <f t="shared" si="8"/>
        <v>20590.069847670933</v>
      </c>
      <c r="K30" s="3">
        <f t="shared" si="9"/>
        <v>763032.04423624184</v>
      </c>
      <c r="L30" s="3">
        <f t="shared" si="10"/>
        <v>13796.959309978645</v>
      </c>
      <c r="M30" s="3">
        <f t="shared" si="0"/>
        <v>529632.1552973768</v>
      </c>
      <c r="N30" s="3">
        <f t="shared" si="19"/>
        <v>402866.0510980736</v>
      </c>
      <c r="O30" s="3">
        <f t="shared" si="19"/>
        <v>504740.22493896575</v>
      </c>
      <c r="P30" s="3">
        <f t="shared" si="19"/>
        <v>629767.62010733364</v>
      </c>
      <c r="Q30" s="3">
        <f t="shared" si="19"/>
        <v>754804.06145143416</v>
      </c>
      <c r="R30" s="3">
        <f t="shared" si="19"/>
        <v>1460850.0137247823</v>
      </c>
      <c r="S30" s="3">
        <f>(O30-N30)*S$2</f>
        <v>3799.9066842652774</v>
      </c>
      <c r="T30" s="3">
        <f>(P30-O30)*T$2</f>
        <v>5876.2875729132911</v>
      </c>
      <c r="X30" s="3">
        <f t="shared" si="20"/>
        <v>21381.999895923611</v>
      </c>
      <c r="Y30" s="3">
        <f t="shared" si="20"/>
        <v>67632.874819688674</v>
      </c>
      <c r="Z30" s="3">
        <f t="shared" si="20"/>
        <v>249249.73012057782</v>
      </c>
      <c r="AA30" s="3">
        <f t="shared" si="20"/>
        <v>438529.58295387455</v>
      </c>
      <c r="AB30" s="3">
        <f t="shared" si="20"/>
        <v>459483.49938373803</v>
      </c>
      <c r="AC30" s="3">
        <f t="shared" si="20"/>
        <v>635143.40494778368</v>
      </c>
      <c r="AD30" s="3">
        <f t="shared" si="20"/>
        <v>819636.17349039658</v>
      </c>
      <c r="AE30" s="3">
        <f t="shared" si="20"/>
        <v>1023618.4980728241</v>
      </c>
      <c r="AF30" s="3">
        <f t="shared" si="20"/>
        <v>1216646.1428816319</v>
      </c>
      <c r="AG30" s="3">
        <f t="shared" si="20"/>
        <v>1503706.2960542804</v>
      </c>
      <c r="AH30" s="3">
        <f t="shared" si="20"/>
        <v>1149791.2864445657</v>
      </c>
      <c r="AI30" s="3">
        <f t="shared" si="3"/>
        <v>3058067.6959034558</v>
      </c>
      <c r="AJ30" s="3">
        <f t="shared" si="18"/>
        <v>1040450.1540447809</v>
      </c>
      <c r="AK30" s="3">
        <f t="shared" si="13"/>
        <v>3171740.5660286751</v>
      </c>
      <c r="AL30" s="5">
        <f t="shared" si="14"/>
        <v>1.037171469512429</v>
      </c>
      <c r="AM30" s="3">
        <f t="shared" si="4"/>
        <v>113672.87012521923</v>
      </c>
      <c r="AN30" s="6">
        <f t="shared" si="15"/>
        <v>2.3153221327475486</v>
      </c>
    </row>
    <row r="31" spans="1:40" x14ac:dyDescent="0.55000000000000004">
      <c r="A31">
        <v>100</v>
      </c>
      <c r="C31" s="3">
        <f t="shared" si="5"/>
        <v>1912335.2417788242</v>
      </c>
      <c r="D31" s="3"/>
      <c r="E31" s="3"/>
      <c r="F31" s="3">
        <f t="shared" si="16"/>
        <v>169805.34983854802</v>
      </c>
      <c r="G31" s="3"/>
      <c r="H31" s="3"/>
      <c r="K31" s="3">
        <f t="shared" si="9"/>
        <v>821205.60728881287</v>
      </c>
      <c r="L31" s="3">
        <f t="shared" si="10"/>
        <v>15260.640884724837</v>
      </c>
      <c r="M31" s="3">
        <f t="shared" si="0"/>
        <v>15260.640884724837</v>
      </c>
      <c r="N31" s="3">
        <f t="shared" si="19"/>
        <v>412937.70237552538</v>
      </c>
      <c r="O31" s="3">
        <f t="shared" si="19"/>
        <v>517358.73056243983</v>
      </c>
      <c r="P31" s="3">
        <f t="shared" si="19"/>
        <v>645511.81061001692</v>
      </c>
      <c r="Q31" s="3">
        <f t="shared" si="19"/>
        <v>773674.16298771999</v>
      </c>
      <c r="R31" s="3">
        <f t="shared" si="19"/>
        <v>1497371.2640679018</v>
      </c>
      <c r="S31" s="3">
        <f>(O31-N31)*S$2</f>
        <v>3894.9043513719089</v>
      </c>
      <c r="T31" s="3">
        <f>(P31-O31)*T$2</f>
        <v>6023.1947622361231</v>
      </c>
      <c r="X31" s="3">
        <f t="shared" si="20"/>
        <v>21916.549893321699</v>
      </c>
      <c r="Y31" s="3">
        <f t="shared" si="20"/>
        <v>69323.696690180877</v>
      </c>
      <c r="Z31" s="3">
        <f t="shared" si="20"/>
        <v>255480.97337359225</v>
      </c>
      <c r="AA31" s="3">
        <f t="shared" si="20"/>
        <v>449492.82252772135</v>
      </c>
      <c r="AB31" s="3">
        <f t="shared" si="20"/>
        <v>470970.58686833142</v>
      </c>
      <c r="AC31" s="3">
        <f t="shared" si="20"/>
        <v>651021.99007147818</v>
      </c>
      <c r="AD31" s="3">
        <f t="shared" si="20"/>
        <v>840127.07782765641</v>
      </c>
      <c r="AE31" s="3">
        <f t="shared" si="20"/>
        <v>1049208.9605246447</v>
      </c>
      <c r="AF31" s="3">
        <f t="shared" si="20"/>
        <v>1247062.2964536725</v>
      </c>
      <c r="AG31" s="3">
        <f t="shared" si="20"/>
        <v>1541298.9534556372</v>
      </c>
      <c r="AH31" s="3">
        <f t="shared" si="20"/>
        <v>1178536.0686056798</v>
      </c>
      <c r="AI31" s="3">
        <f t="shared" si="3"/>
        <v>2903346.1989061851</v>
      </c>
      <c r="AJ31" s="3">
        <f t="shared" si="18"/>
        <v>1123686.1663683634</v>
      </c>
      <c r="AK31" s="3">
        <f t="shared" si="13"/>
        <v>3036021.4081471879</v>
      </c>
      <c r="AL31" s="5">
        <f t="shared" si="14"/>
        <v>1.0456973437377146</v>
      </c>
      <c r="AM31" s="3">
        <f t="shared" si="4"/>
        <v>132675.2092410028</v>
      </c>
      <c r="AN31" s="6">
        <f t="shared" si="15"/>
        <v>2.3732051860662371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CED91-52DA-431A-B72E-84022FD4E66C}">
  <dimension ref="A1:M41"/>
  <sheetViews>
    <sheetView tabSelected="1" zoomScale="75" zoomScaleNormal="75" workbookViewId="0">
      <pane xSplit="2" ySplit="1" topLeftCell="C2" activePane="bottomRight" state="frozen"/>
      <selection activeCell="M37" sqref="M37"/>
      <selection pane="topRight" activeCell="M37" sqref="M37"/>
      <selection pane="bottomLeft" activeCell="M37" sqref="M37"/>
      <selection pane="bottomRight" activeCell="M37" sqref="M37"/>
    </sheetView>
  </sheetViews>
  <sheetFormatPr defaultRowHeight="14.4" x14ac:dyDescent="0.55000000000000004"/>
  <cols>
    <col min="3" max="3" width="9.734375" customWidth="1"/>
    <col min="5" max="5" width="10.20703125" bestFit="1" customWidth="1"/>
    <col min="6" max="6" width="10.7890625" customWidth="1"/>
    <col min="7" max="7" width="9.3125" bestFit="1" customWidth="1"/>
    <col min="8" max="8" width="11.41796875" customWidth="1"/>
    <col min="9" max="11" width="8.89453125" bestFit="1" customWidth="1"/>
    <col min="12" max="12" width="10.578125" customWidth="1"/>
    <col min="13" max="13" width="10.41796875" customWidth="1"/>
  </cols>
  <sheetData>
    <row r="1" spans="1:13" s="1" customFormat="1" ht="54.9" customHeight="1" x14ac:dyDescent="0.55000000000000004">
      <c r="A1" s="1" t="str">
        <f>'[1]no conversion'!A1</f>
        <v>year</v>
      </c>
      <c r="B1" s="1" t="str">
        <f>'[1]no conversion'!B1</f>
        <v>age</v>
      </c>
      <c r="C1" s="1" t="s">
        <v>27</v>
      </c>
      <c r="D1" s="1" t="s">
        <v>33</v>
      </c>
      <c r="E1" s="1" t="s">
        <v>34</v>
      </c>
      <c r="F1" s="1" t="s">
        <v>35</v>
      </c>
      <c r="G1" s="1" t="s">
        <v>36</v>
      </c>
      <c r="H1" s="1" t="s">
        <v>57</v>
      </c>
      <c r="I1" s="1" t="s">
        <v>37</v>
      </c>
      <c r="J1" s="1" t="s">
        <v>58</v>
      </c>
      <c r="K1" s="1" t="s">
        <v>38</v>
      </c>
      <c r="L1" s="1" t="s">
        <v>39</v>
      </c>
      <c r="M1" s="1" t="s">
        <v>40</v>
      </c>
    </row>
    <row r="2" spans="1:13" x14ac:dyDescent="0.55000000000000004">
      <c r="E2" s="7" t="s">
        <v>41</v>
      </c>
      <c r="G2" s="8" t="s">
        <v>42</v>
      </c>
      <c r="K2">
        <v>76000</v>
      </c>
      <c r="M2">
        <v>24000</v>
      </c>
    </row>
    <row r="3" spans="1:13" x14ac:dyDescent="0.55000000000000004">
      <c r="A3">
        <f>'[1]no conversion'!A3</f>
        <v>2027</v>
      </c>
      <c r="B3">
        <f>'[1]no conversion'!B3</f>
        <v>72</v>
      </c>
      <c r="C3" s="3"/>
      <c r="D3" s="3"/>
      <c r="E3" s="9"/>
      <c r="F3" s="3"/>
      <c r="G3" s="9"/>
      <c r="H3" s="3"/>
      <c r="I3" s="3"/>
      <c r="J3" s="3"/>
      <c r="K3" s="5"/>
      <c r="L3" s="5"/>
      <c r="M3" s="5"/>
    </row>
    <row r="4" spans="1:13" x14ac:dyDescent="0.55000000000000004">
      <c r="A4">
        <f>'[1]no conversion'!A4</f>
        <v>2028</v>
      </c>
      <c r="B4">
        <f>'[1]no conversion'!B4</f>
        <v>73</v>
      </c>
      <c r="C4" s="3"/>
      <c r="D4" s="3"/>
      <c r="E4" s="9"/>
      <c r="F4" s="3"/>
      <c r="G4" s="9"/>
      <c r="H4" s="3"/>
      <c r="I4" s="3"/>
      <c r="J4" s="3"/>
      <c r="K4" s="5"/>
      <c r="L4" s="5"/>
      <c r="M4" s="5"/>
    </row>
    <row r="5" spans="1:13" x14ac:dyDescent="0.55000000000000004">
      <c r="A5">
        <f>'[1]no conversion'!A5</f>
        <v>2029</v>
      </c>
      <c r="B5">
        <f>'[1]no conversion'!B5</f>
        <v>74</v>
      </c>
      <c r="C5" s="3"/>
      <c r="D5" s="3"/>
      <c r="E5" s="9"/>
      <c r="F5" s="3"/>
      <c r="G5" s="9"/>
      <c r="H5" s="3"/>
      <c r="I5" s="3"/>
      <c r="J5" s="3"/>
      <c r="K5" s="5"/>
      <c r="L5" s="5"/>
      <c r="M5" s="5"/>
    </row>
    <row r="6" spans="1:13" x14ac:dyDescent="0.55000000000000004">
      <c r="A6">
        <f>'[1]no conversion'!A6</f>
        <v>2030</v>
      </c>
      <c r="B6">
        <f>'[1]no conversion'!B6</f>
        <v>75</v>
      </c>
      <c r="C6" s="3"/>
      <c r="D6" s="3"/>
      <c r="E6" s="9"/>
      <c r="F6" s="3"/>
      <c r="G6" s="9"/>
      <c r="H6" s="3"/>
      <c r="I6" s="3"/>
      <c r="J6" s="3"/>
      <c r="K6" s="5"/>
      <c r="L6" s="5"/>
      <c r="M6" s="5"/>
    </row>
    <row r="7" spans="1:13" x14ac:dyDescent="0.55000000000000004">
      <c r="A7">
        <f>'[1]no conversion'!A7</f>
        <v>2031</v>
      </c>
      <c r="B7">
        <f>'[1]no conversion'!B7</f>
        <v>76</v>
      </c>
      <c r="C7" s="3"/>
      <c r="D7" s="3"/>
      <c r="E7" s="9"/>
      <c r="F7" s="3"/>
      <c r="G7" s="9"/>
      <c r="H7" s="3"/>
      <c r="I7" s="3"/>
      <c r="J7" s="3"/>
      <c r="K7" s="5"/>
      <c r="L7" s="5"/>
      <c r="M7" s="5"/>
    </row>
    <row r="8" spans="1:13" x14ac:dyDescent="0.55000000000000004">
      <c r="A8">
        <f>'[1]no conversion'!A8</f>
        <v>2032</v>
      </c>
      <c r="B8">
        <f>'[1]no conversion'!B8</f>
        <v>77</v>
      </c>
      <c r="C8" s="3"/>
      <c r="D8" s="3"/>
      <c r="E8" s="9"/>
      <c r="F8" s="3"/>
      <c r="G8" s="9"/>
      <c r="H8" s="3"/>
      <c r="I8" s="3"/>
      <c r="J8" s="3"/>
      <c r="K8" s="5"/>
      <c r="L8" s="5"/>
      <c r="M8" s="5"/>
    </row>
    <row r="9" spans="1:13" x14ac:dyDescent="0.55000000000000004">
      <c r="A9">
        <f>'[1]no conversion'!A9</f>
        <v>2033</v>
      </c>
      <c r="B9">
        <f>'[1]no conversion'!B9</f>
        <v>78</v>
      </c>
      <c r="C9" s="3"/>
      <c r="D9" s="3"/>
      <c r="E9" s="9"/>
      <c r="F9" s="3"/>
      <c r="G9" s="9"/>
      <c r="H9" s="3"/>
      <c r="I9" s="3"/>
      <c r="J9" s="3"/>
      <c r="K9" s="5"/>
      <c r="L9" s="5"/>
      <c r="M9" s="5"/>
    </row>
    <row r="10" spans="1:13" x14ac:dyDescent="0.55000000000000004">
      <c r="A10">
        <f>'[1]no conversion'!A10</f>
        <v>2034</v>
      </c>
      <c r="B10">
        <f>'[1]no conversion'!B10</f>
        <v>79</v>
      </c>
      <c r="C10" s="3"/>
      <c r="D10" s="3"/>
      <c r="E10" s="9"/>
      <c r="F10" s="3"/>
      <c r="G10" s="9"/>
      <c r="H10" s="3"/>
      <c r="I10" s="3"/>
      <c r="J10" s="3"/>
      <c r="K10" s="5"/>
      <c r="L10" s="5"/>
      <c r="M10" s="5"/>
    </row>
    <row r="11" spans="1:13" x14ac:dyDescent="0.55000000000000004">
      <c r="A11">
        <f>'[1]no conversion'!A11</f>
        <v>2035</v>
      </c>
      <c r="B11">
        <f>'[1]no conversion'!B11</f>
        <v>80</v>
      </c>
      <c r="C11" s="3">
        <f>'pretax results'!AJ11</f>
        <v>241084.85267906869</v>
      </c>
      <c r="D11" s="3">
        <f>'pretax results'!F11</f>
        <v>225576.6035402859</v>
      </c>
      <c r="E11" s="9">
        <v>-57858.465133115729</v>
      </c>
      <c r="F11" s="3">
        <f>'pretax results'!K11</f>
        <v>55983.294403268039</v>
      </c>
      <c r="G11" s="9">
        <v>-3927.0332298625804</v>
      </c>
      <c r="H11" s="3">
        <v>219774.39958057561</v>
      </c>
      <c r="I11" s="3">
        <v>14714.133865142117</v>
      </c>
      <c r="J11" s="3">
        <v>12002.652679359855</v>
      </c>
      <c r="K11" s="5">
        <f t="shared" ref="K11:K30" si="0">I11/K$2</f>
        <v>0.19360702454134365</v>
      </c>
      <c r="L11" s="5">
        <f t="shared" ref="L11:L30" si="1">POWER(1+K11,1/($A11-2020))-1</f>
        <v>1.1868534400851116E-2</v>
      </c>
      <c r="M11" s="5">
        <v>3.2390232594552204E-2</v>
      </c>
    </row>
    <row r="12" spans="1:13" x14ac:dyDescent="0.55000000000000004">
      <c r="A12">
        <f>'[1]no conversion'!A12</f>
        <v>2036</v>
      </c>
      <c r="B12">
        <f>'[1]no conversion'!B12</f>
        <v>81</v>
      </c>
      <c r="C12" s="3">
        <f>'pretax results'!AJ12</f>
        <v>260371.64089339421</v>
      </c>
      <c r="D12" s="3">
        <f>'pretax results'!F12</f>
        <v>231562.20054511726</v>
      </c>
      <c r="E12" s="9">
        <v>-59826.155132611995</v>
      </c>
      <c r="F12" s="3">
        <f>'pretax results'!K12</f>
        <v>68738.501297811672</v>
      </c>
      <c r="G12" s="9">
        <v>-4832.8646670628923</v>
      </c>
      <c r="H12" s="3">
        <v>235641.68204325406</v>
      </c>
      <c r="I12" s="3">
        <v>16658.716885919257</v>
      </c>
      <c r="J12" s="3">
        <v>13403.178745947518</v>
      </c>
      <c r="K12" s="5">
        <f t="shared" si="0"/>
        <v>0.21919364323577969</v>
      </c>
      <c r="L12" s="5">
        <f t="shared" si="1"/>
        <v>1.2463890595742599E-2</v>
      </c>
      <c r="M12" s="5">
        <v>3.3496241810715643E-2</v>
      </c>
    </row>
    <row r="13" spans="1:13" x14ac:dyDescent="0.55000000000000004">
      <c r="A13">
        <f>'[1]no conversion'!A13</f>
        <v>2037</v>
      </c>
      <c r="B13">
        <f>'[1]no conversion'!B13</f>
        <v>82</v>
      </c>
      <c r="C13" s="3">
        <f>'pretax results'!AJ13</f>
        <v>281201.37216486578</v>
      </c>
      <c r="D13" s="3">
        <f>'pretax results'!F13</f>
        <v>237129.29179138329</v>
      </c>
      <c r="E13" s="9">
        <v>-61676.541783821325</v>
      </c>
      <c r="F13" s="3">
        <f>'pretax results'!K13</f>
        <v>83097.636160813257</v>
      </c>
      <c r="G13" s="9">
        <v>-5936.8184018103566</v>
      </c>
      <c r="H13" s="3">
        <v>252613.56776656487</v>
      </c>
      <c r="I13" s="3">
        <v>18787.76374317845</v>
      </c>
      <c r="J13" s="3">
        <v>14886.116034759239</v>
      </c>
      <c r="K13" s="5">
        <f t="shared" si="0"/>
        <v>0.24720741767340065</v>
      </c>
      <c r="L13" s="5">
        <f t="shared" si="1"/>
        <v>1.307932438271453E-2</v>
      </c>
      <c r="M13" s="5">
        <v>3.4596677206665483E-2</v>
      </c>
    </row>
    <row r="14" spans="1:13" x14ac:dyDescent="0.55000000000000004">
      <c r="A14">
        <f>'[1]no conversion'!A14</f>
        <v>2038</v>
      </c>
      <c r="B14">
        <f>'[1]no conversion'!B14</f>
        <v>83</v>
      </c>
      <c r="C14" s="3">
        <f>'pretax results'!AJ14</f>
        <v>303697.48193805508</v>
      </c>
      <c r="D14" s="3">
        <f>'pretax results'!F14</f>
        <v>242181.1767034606</v>
      </c>
      <c r="E14" s="9">
        <v>-63261.930390441688</v>
      </c>
      <c r="F14" s="3">
        <f>'pretax results'!K14</f>
        <v>99227.470689618625</v>
      </c>
      <c r="G14" s="9">
        <v>-7254.9471267031558</v>
      </c>
      <c r="H14" s="3">
        <v>270891.76987593435</v>
      </c>
      <c r="I14" s="3">
        <v>21033.904205890583</v>
      </c>
      <c r="J14" s="3">
        <v>16382.279434176648</v>
      </c>
      <c r="K14" s="5">
        <f t="shared" si="0"/>
        <v>0.27676189744592872</v>
      </c>
      <c r="L14" s="5">
        <f t="shared" si="1"/>
        <v>1.3666269340613102E-2</v>
      </c>
      <c r="M14" s="5">
        <v>3.558299112436103E-2</v>
      </c>
    </row>
    <row r="15" spans="1:13" x14ac:dyDescent="0.55000000000000004">
      <c r="A15">
        <f>'[1]no conversion'!A15</f>
        <v>2039</v>
      </c>
      <c r="B15">
        <f>'[1]no conversion'!B15</f>
        <v>84</v>
      </c>
      <c r="C15" s="3">
        <f>'pretax results'!AJ15</f>
        <v>327993.28049309948</v>
      </c>
      <c r="D15" s="3">
        <f>'pretax results'!F15</f>
        <v>246694.55317838874</v>
      </c>
      <c r="E15" s="9">
        <v>-64676.718421002719</v>
      </c>
      <c r="F15" s="3">
        <f>'pretax results'!K15</f>
        <v>117250.39659446276</v>
      </c>
      <c r="G15" s="9">
        <v>-8801.8966962077175</v>
      </c>
      <c r="H15" s="3">
        <v>290466.33465564105</v>
      </c>
      <c r="I15" s="3">
        <v>23474.144734308975</v>
      </c>
      <c r="J15" s="3">
        <v>17968.314393674758</v>
      </c>
      <c r="K15" s="5">
        <f t="shared" si="0"/>
        <v>0.30887032545143389</v>
      </c>
      <c r="L15" s="5">
        <f t="shared" si="1"/>
        <v>1.4267369404734387E-2</v>
      </c>
      <c r="M15" s="5">
        <v>3.655389973594847E-2</v>
      </c>
    </row>
    <row r="16" spans="1:13" s="10" customFormat="1" x14ac:dyDescent="0.55000000000000004">
      <c r="A16" s="10">
        <f>'[1]no conversion'!A16</f>
        <v>2040</v>
      </c>
      <c r="B16" s="10">
        <f>'[1]no conversion'!B16</f>
        <v>85</v>
      </c>
      <c r="C16" s="3">
        <f>'pretax results'!AJ16</f>
        <v>354232.74293254747</v>
      </c>
      <c r="D16" s="3">
        <f>'pretax results'!F16</f>
        <v>250571.18187119201</v>
      </c>
      <c r="E16" s="11">
        <v>-65887.79659152466</v>
      </c>
      <c r="F16" s="3">
        <f>'pretax results'!K16</f>
        <v>137349.55852222789</v>
      </c>
      <c r="G16" s="11">
        <v>-10614.468313207652</v>
      </c>
      <c r="H16" s="12">
        <v>311418.47548868757</v>
      </c>
      <c r="I16" s="12">
        <v>26128.30336077452</v>
      </c>
      <c r="J16" s="12">
        <v>19650.601775328087</v>
      </c>
      <c r="K16" s="13">
        <f t="shared" si="0"/>
        <v>0.34379346527334897</v>
      </c>
      <c r="L16" s="13">
        <f t="shared" si="1"/>
        <v>1.4884515239156793E-2</v>
      </c>
      <c r="M16" s="13">
        <v>3.7513098162881953E-2</v>
      </c>
    </row>
    <row r="17" spans="1:13" x14ac:dyDescent="0.55000000000000004">
      <c r="A17">
        <f>'[1]no conversion'!A17</f>
        <v>2041</v>
      </c>
      <c r="B17">
        <f>'[1]no conversion'!B17</f>
        <v>86</v>
      </c>
      <c r="C17" s="3">
        <f>'pretax results'!AJ17</f>
        <v>382571.36236715131</v>
      </c>
      <c r="D17" s="3">
        <f>'pretax results'!F17</f>
        <v>253703.32164458191</v>
      </c>
      <c r="E17" s="9">
        <v>-66858.575106893215</v>
      </c>
      <c r="F17" s="3">
        <f>'pretax results'!K17</f>
        <v>159723.22000284414</v>
      </c>
      <c r="G17" s="9">
        <v>-12722.638233579688</v>
      </c>
      <c r="H17" s="3">
        <v>333845.32830695319</v>
      </c>
      <c r="I17" s="3">
        <v>29010.812436769374</v>
      </c>
      <c r="J17" s="3">
        <v>21435.928114370847</v>
      </c>
      <c r="K17" s="5">
        <f t="shared" si="0"/>
        <v>0.38172121627328126</v>
      </c>
      <c r="L17" s="5">
        <f t="shared" si="1"/>
        <v>1.5515805043586406E-2</v>
      </c>
      <c r="M17" s="5">
        <v>3.8456355216156535E-2</v>
      </c>
    </row>
    <row r="18" spans="1:13" x14ac:dyDescent="0.55000000000000004">
      <c r="A18">
        <f>'[1]no conversion'!A18</f>
        <v>2042</v>
      </c>
      <c r="B18">
        <f>'[1]no conversion'!B18</f>
        <v>87</v>
      </c>
      <c r="C18" s="3">
        <f>'pretax results'!AJ18</f>
        <v>413177.07135652343</v>
      </c>
      <c r="D18" s="3">
        <f>'pretax results'!F18</f>
        <v>255973.29873298082</v>
      </c>
      <c r="E18" s="9">
        <v>-67548.746470738159</v>
      </c>
      <c r="F18" s="3">
        <f>'pretax results'!K18</f>
        <v>184585.68437809005</v>
      </c>
      <c r="G18" s="9">
        <v>-15159.180882016173</v>
      </c>
      <c r="H18" s="3">
        <v>357851.05575831654</v>
      </c>
      <c r="I18" s="3">
        <v>32136.927737051858</v>
      </c>
      <c r="J18" s="3">
        <v>23331.495151842493</v>
      </c>
      <c r="K18" s="5">
        <f t="shared" si="0"/>
        <v>0.42285431232962972</v>
      </c>
      <c r="L18" s="5">
        <f t="shared" si="1"/>
        <v>1.6159397584366353E-2</v>
      </c>
      <c r="M18" s="5">
        <v>3.9380171037251888E-2</v>
      </c>
    </row>
    <row r="19" spans="1:13" x14ac:dyDescent="0.55000000000000004">
      <c r="A19">
        <f>'[1]no conversion'!A19</f>
        <v>2043</v>
      </c>
      <c r="B19">
        <f>'[1]no conversion'!B19</f>
        <v>88</v>
      </c>
      <c r="C19" s="3">
        <f>'pretax results'!AJ19</f>
        <v>446231.23706504534</v>
      </c>
      <c r="D19" s="3">
        <f>'pretax results'!F19</f>
        <v>257253.16522664574</v>
      </c>
      <c r="E19" s="9">
        <v>-67914.050611149418</v>
      </c>
      <c r="F19" s="3">
        <f>'pretax results'!K19</f>
        <v>212168.19883264962</v>
      </c>
      <c r="G19" s="9">
        <v>-17959.882376014302</v>
      </c>
      <c r="H19" s="3">
        <v>383547.43107213161</v>
      </c>
      <c r="I19" s="3">
        <v>35522.739726028813</v>
      </c>
      <c r="J19" s="3">
        <v>25344.923988015533</v>
      </c>
      <c r="K19" s="5">
        <f t="shared" si="0"/>
        <v>0.46740447007932651</v>
      </c>
      <c r="L19" s="5">
        <f t="shared" si="1"/>
        <v>1.6813485200919853E-2</v>
      </c>
      <c r="M19" s="5">
        <v>4.0281660499575267E-2</v>
      </c>
    </row>
    <row r="20" spans="1:13" x14ac:dyDescent="0.55000000000000004">
      <c r="A20">
        <f>'[1]no conversion'!A20</f>
        <v>2044</v>
      </c>
      <c r="B20">
        <f>'[1]no conversion'!B20</f>
        <v>89</v>
      </c>
      <c r="C20" s="3">
        <f>'pretax results'!AJ20</f>
        <v>481929.73603024898</v>
      </c>
      <c r="D20" s="3">
        <f>'pretax results'!F20</f>
        <v>257404.49061795554</v>
      </c>
      <c r="E20" s="9">
        <v>-67706.009998031834</v>
      </c>
      <c r="F20" s="3">
        <f>'pretax results'!K20</f>
        <v>242719.81448608101</v>
      </c>
      <c r="G20" s="9">
        <v>-21163.762165875494</v>
      </c>
      <c r="H20" s="3">
        <v>411254.53294012923</v>
      </c>
      <c r="I20" s="3">
        <v>39074.577940582974</v>
      </c>
      <c r="J20" s="3">
        <v>27373.655437226629</v>
      </c>
      <c r="K20" s="5">
        <f t="shared" si="0"/>
        <v>0.51413918342872333</v>
      </c>
      <c r="L20" s="5">
        <f t="shared" si="1"/>
        <v>1.7435550271215794E-2</v>
      </c>
      <c r="M20" s="5">
        <v>4.1082460076742988E-2</v>
      </c>
    </row>
    <row r="21" spans="1:13" s="10" customFormat="1" x14ac:dyDescent="0.55000000000000004">
      <c r="A21" s="10">
        <f>'[1]no conversion'!A21</f>
        <v>2045</v>
      </c>
      <c r="B21" s="10">
        <f>'[1]no conversion'!B21</f>
        <v>90</v>
      </c>
      <c r="C21" s="3">
        <f>'pretax results'!AJ21</f>
        <v>520484.11491266894</v>
      </c>
      <c r="D21" s="3">
        <f>'pretax results'!F21</f>
        <v>256446.70646681899</v>
      </c>
      <c r="E21" s="11">
        <v>-67322.225793123391</v>
      </c>
      <c r="F21" s="3">
        <f>'pretax results'!K21</f>
        <v>276389.68886882899</v>
      </c>
      <c r="G21" s="11">
        <v>-24791.027061039236</v>
      </c>
      <c r="H21" s="12">
        <v>440723.14248148538</v>
      </c>
      <c r="I21" s="12">
        <v>43022.317934703897</v>
      </c>
      <c r="J21" s="12">
        <v>29650.271235196888</v>
      </c>
      <c r="K21" s="13">
        <f t="shared" si="0"/>
        <v>0.56608313071978811</v>
      </c>
      <c r="L21" s="13">
        <f t="shared" si="1"/>
        <v>1.8105051932048477E-2</v>
      </c>
      <c r="M21" s="13">
        <v>4.1934283290778529E-2</v>
      </c>
    </row>
    <row r="22" spans="1:13" x14ac:dyDescent="0.55000000000000004">
      <c r="A22">
        <f>'[1]no conversion'!A22</f>
        <v>2046</v>
      </c>
      <c r="B22">
        <f>'[1]no conversion'!B22</f>
        <v>91</v>
      </c>
      <c r="C22" s="3">
        <f>'pretax results'!AJ22</f>
        <v>562122.84410568245</v>
      </c>
      <c r="D22" s="3">
        <f>'pretax results'!F22</f>
        <v>254072.98488629967</v>
      </c>
      <c r="E22" s="9">
        <v>-66221.400621398265</v>
      </c>
      <c r="F22" s="3">
        <f>'pretax results'!K22</f>
        <v>313569.03518742672</v>
      </c>
      <c r="G22" s="9">
        <v>-28929.740012385726</v>
      </c>
      <c r="H22" s="3">
        <v>472490.87943994242</v>
      </c>
      <c r="I22" s="3">
        <v>47167.451955659104</v>
      </c>
      <c r="J22" s="3">
        <v>31943.618279663831</v>
      </c>
      <c r="K22" s="5">
        <f t="shared" si="0"/>
        <v>0.62062436783761976</v>
      </c>
      <c r="L22" s="5">
        <f t="shared" si="1"/>
        <v>1.8743161167573463E-2</v>
      </c>
      <c r="M22" s="5">
        <v>4.2693209436309498E-2</v>
      </c>
    </row>
    <row r="23" spans="1:13" x14ac:dyDescent="0.55000000000000004">
      <c r="A23">
        <f>'[1]no conversion'!A23</f>
        <v>2047</v>
      </c>
      <c r="B23">
        <f>'[1]no conversion'!B23</f>
        <v>92</v>
      </c>
      <c r="C23" s="3">
        <f>'pretax results'!AJ23</f>
        <v>607092.67163413705</v>
      </c>
      <c r="D23" s="3">
        <f>'pretax results'!F23</f>
        <v>250328.75142481737</v>
      </c>
      <c r="E23" s="9">
        <v>-64367.784677416872</v>
      </c>
      <c r="F23" s="3">
        <f>'pretax results'!K23</f>
        <v>354413.73742253607</v>
      </c>
      <c r="G23" s="9">
        <v>-33580.353502009501</v>
      </c>
      <c r="H23" s="3">
        <v>506794.35066792706</v>
      </c>
      <c r="I23" s="3">
        <v>51493.130723842594</v>
      </c>
      <c r="J23" s="3">
        <v>34252.986362758355</v>
      </c>
      <c r="K23" s="5">
        <f t="shared" si="0"/>
        <v>0.67754119373477095</v>
      </c>
      <c r="L23" s="5">
        <f t="shared" si="1"/>
        <v>1.9345076028040031E-2</v>
      </c>
      <c r="M23" s="5">
        <v>4.3357620449555379E-2</v>
      </c>
    </row>
    <row r="24" spans="1:13" x14ac:dyDescent="0.55000000000000004">
      <c r="A24">
        <f>'[1]no conversion'!A24</f>
        <v>2048</v>
      </c>
      <c r="B24">
        <f>'[1]no conversion'!B24</f>
        <v>93</v>
      </c>
      <c r="C24" s="3">
        <f>'pretax results'!AJ24</f>
        <v>655660.08536486805</v>
      </c>
      <c r="D24" s="3">
        <f>'pretax results'!F24</f>
        <v>245322.17639632104</v>
      </c>
      <c r="E24" s="9">
        <v>-62304.46340305265</v>
      </c>
      <c r="F24" s="3">
        <f>'pretax results'!K24</f>
        <v>399049.96771574696</v>
      </c>
      <c r="G24" s="9">
        <v>-38787.583386558188</v>
      </c>
      <c r="H24" s="3">
        <v>543280.09732245724</v>
      </c>
      <c r="I24" s="3">
        <v>56288.63933372905</v>
      </c>
      <c r="J24" s="3">
        <v>36860.800535161405</v>
      </c>
      <c r="K24" s="5">
        <f t="shared" si="0"/>
        <v>0.74063999123327695</v>
      </c>
      <c r="L24" s="5">
        <f t="shared" si="1"/>
        <v>1.9991959967699424E-2</v>
      </c>
      <c r="M24" s="5">
        <v>4.4071165862061168E-2</v>
      </c>
    </row>
    <row r="25" spans="1:13" x14ac:dyDescent="0.55000000000000004">
      <c r="A25">
        <f>'[1]no conversion'!A25</f>
        <v>2049</v>
      </c>
      <c r="B25">
        <f>'[1]no conversion'!B25</f>
        <v>94</v>
      </c>
      <c r="C25" s="3">
        <f>'pretax results'!AJ25</f>
        <v>708112.89219405758</v>
      </c>
      <c r="D25" s="3">
        <f>'pretax results'!F25</f>
        <v>238715.48016069736</v>
      </c>
      <c r="E25" s="9">
        <v>-59348.07713214348</v>
      </c>
      <c r="F25" s="3">
        <f>'pretax results'!K25</f>
        <v>447933.42379510874</v>
      </c>
      <c r="G25" s="9">
        <v>-44665.916462480251</v>
      </c>
      <c r="H25" s="3">
        <v>582634.91036118241</v>
      </c>
      <c r="I25" s="3">
        <v>61316.227739846385</v>
      </c>
      <c r="J25" s="3">
        <v>39489.725065694831</v>
      </c>
      <c r="K25" s="5">
        <f t="shared" si="0"/>
        <v>0.80679247026113665</v>
      </c>
      <c r="L25" s="5">
        <f t="shared" si="1"/>
        <v>2.0607853637338414E-2</v>
      </c>
      <c r="M25" s="5">
        <v>4.4705321723185198E-2</v>
      </c>
    </row>
    <row r="26" spans="1:13" s="10" customFormat="1" x14ac:dyDescent="0.55000000000000004">
      <c r="A26" s="10">
        <f>'[1]no conversion'!A26</f>
        <v>2050</v>
      </c>
      <c r="B26" s="10">
        <f>'[1]no conversion'!B26</f>
        <v>95</v>
      </c>
      <c r="C26" s="3">
        <f>'pretax results'!AJ26</f>
        <v>764761.92356958229</v>
      </c>
      <c r="D26" s="3">
        <f>'pretax results'!F26</f>
        <v>230674.53767107389</v>
      </c>
      <c r="E26" s="11">
        <v>-55823.497857248272</v>
      </c>
      <c r="F26" s="3">
        <f>'pretax results'!K26</f>
        <v>501181.1064381036</v>
      </c>
      <c r="G26" s="9">
        <v>-51206.022129709192</v>
      </c>
      <c r="H26" s="12">
        <v>624826.12412222009</v>
      </c>
      <c r="I26" s="12">
        <v>66713.368781481317</v>
      </c>
      <c r="J26" s="12">
        <v>42301.272293927555</v>
      </c>
      <c r="K26" s="13">
        <f t="shared" si="0"/>
        <v>0.87780748396685948</v>
      </c>
      <c r="L26" s="13">
        <f t="shared" si="1"/>
        <v>2.1225621302699116E-2</v>
      </c>
      <c r="M26" s="13">
        <v>4.531857670781303E-2</v>
      </c>
    </row>
    <row r="27" spans="1:13" x14ac:dyDescent="0.55000000000000004">
      <c r="A27">
        <f>'[1]no conversion'!A27</f>
        <v>2051</v>
      </c>
      <c r="B27">
        <f>'[1]no conversion'!B27</f>
        <v>96</v>
      </c>
      <c r="C27" s="3">
        <f>'pretax results'!AJ27</f>
        <v>825942.87745514896</v>
      </c>
      <c r="D27" s="3">
        <f>'pretax results'!F27</f>
        <v>221136.53431568568</v>
      </c>
      <c r="E27" s="9">
        <v>-53072.768235764561</v>
      </c>
      <c r="F27" s="3">
        <f>'pretax results'!K27</f>
        <v>559089.20440081146</v>
      </c>
      <c r="G27" s="9">
        <v>-58502.463725081383</v>
      </c>
      <c r="H27" s="3">
        <v>668650.50675565121</v>
      </c>
      <c r="I27" s="3">
        <v>73159.011869033449</v>
      </c>
      <c r="J27" s="3">
        <v>45948.649287572305</v>
      </c>
      <c r="K27" s="5">
        <f t="shared" si="0"/>
        <v>0.96261857722412436</v>
      </c>
      <c r="L27" s="5">
        <f t="shared" si="1"/>
        <v>2.198923098353589E-2</v>
      </c>
      <c r="M27" s="5">
        <v>4.6139051952283738E-2</v>
      </c>
    </row>
    <row r="28" spans="1:13" x14ac:dyDescent="0.55000000000000004">
      <c r="A28">
        <f>'[1]no conversion'!A28</f>
        <v>2052</v>
      </c>
      <c r="B28">
        <f>'[1]no conversion'!B28</f>
        <v>97</v>
      </c>
      <c r="C28" s="3">
        <f>'pretax results'!AJ28</f>
        <v>892018.30765156099</v>
      </c>
      <c r="D28" s="3">
        <f>'pretax results'!F28</f>
        <v>210053.06464395978</v>
      </c>
      <c r="E28" s="9">
        <v>-50412.735514550346</v>
      </c>
      <c r="F28" s="3">
        <f>'pretax results'!K28</f>
        <v>621962.81185998244</v>
      </c>
      <c r="G28" s="14">
        <v>-66777.975119168317</v>
      </c>
      <c r="H28" s="3">
        <v>714825.16587022354</v>
      </c>
      <c r="I28" s="3">
        <v>80405.02958571077</v>
      </c>
      <c r="J28" s="3">
        <v>50103.151018895413</v>
      </c>
      <c r="K28" s="5">
        <f t="shared" si="0"/>
        <v>1.0579609156014576</v>
      </c>
      <c r="L28" s="5">
        <f t="shared" si="1"/>
        <v>2.2809869551986051E-2</v>
      </c>
      <c r="M28" s="5">
        <v>4.7016300595696947E-2</v>
      </c>
    </row>
    <row r="29" spans="1:13" x14ac:dyDescent="0.55000000000000004">
      <c r="A29">
        <f>'[1]no conversion'!A29</f>
        <v>2053</v>
      </c>
      <c r="B29">
        <f>'[1]no conversion'!B29</f>
        <v>98</v>
      </c>
      <c r="C29" s="3">
        <f>'pretax results'!AJ29</f>
        <v>963379.77226368594</v>
      </c>
      <c r="D29" s="3">
        <f>'pretax results'!F29</f>
        <v>197773.03932631289</v>
      </c>
      <c r="E29" s="9">
        <v>-47465.52943831509</v>
      </c>
      <c r="F29" s="3">
        <f>'pretax results'!K29</f>
        <v>689847.96549893229</v>
      </c>
      <c r="G29" s="14">
        <v>-76083.460271698088</v>
      </c>
      <c r="H29" s="3">
        <v>764072.01511523197</v>
      </c>
      <c r="I29" s="3">
        <v>88234.137352946957</v>
      </c>
      <c r="J29" s="3">
        <v>54551.76301916621</v>
      </c>
      <c r="K29" s="5">
        <f t="shared" si="0"/>
        <v>1.1609754914861441</v>
      </c>
      <c r="L29" s="5">
        <f t="shared" si="1"/>
        <v>2.3625047524296061E-2</v>
      </c>
      <c r="M29" s="5">
        <v>4.7853132656450192E-2</v>
      </c>
    </row>
    <row r="30" spans="1:13" x14ac:dyDescent="0.55000000000000004">
      <c r="A30">
        <f>'[1]no conversion'!A30</f>
        <v>2054</v>
      </c>
      <c r="B30">
        <f>'[1]no conversion'!B30</f>
        <v>99</v>
      </c>
      <c r="C30" s="3">
        <f>'pretax results'!AJ30</f>
        <v>1040450.1540447809</v>
      </c>
      <c r="D30" s="3">
        <f>'pretax results'!F30</f>
        <v>184335.30953099081</v>
      </c>
      <c r="E30" s="9">
        <v>-44240.474287437792</v>
      </c>
      <c r="F30" s="3">
        <f>'pretax results'!K30</f>
        <v>763032.04423624184</v>
      </c>
      <c r="G30" s="14">
        <v>-86430.443832303004</v>
      </c>
      <c r="H30" s="3">
        <v>816696.43564749183</v>
      </c>
      <c r="I30" s="3">
        <v>96640.426501587834</v>
      </c>
      <c r="J30" s="3">
        <v>59310.656008815109</v>
      </c>
      <c r="K30" s="5">
        <f t="shared" si="0"/>
        <v>1.2715845592314188</v>
      </c>
      <c r="L30" s="5">
        <f t="shared" si="1"/>
        <v>2.4425220737724684E-2</v>
      </c>
      <c r="M30" s="5">
        <v>4.8638817729006245E-2</v>
      </c>
    </row>
    <row r="31" spans="1:13" x14ac:dyDescent="0.55000000000000004">
      <c r="C31" s="3"/>
      <c r="D31" s="3"/>
      <c r="E31" s="9"/>
      <c r="F31" s="3"/>
      <c r="G31" s="14"/>
      <c r="H31" s="3"/>
      <c r="I31" s="3"/>
      <c r="J31" s="3"/>
      <c r="K31" s="5"/>
      <c r="L31" s="5"/>
      <c r="M31" s="5"/>
    </row>
    <row r="32" spans="1:13" x14ac:dyDescent="0.55000000000000004">
      <c r="C32" s="3"/>
      <c r="D32" s="3"/>
      <c r="E32" s="9"/>
      <c r="F32" s="3"/>
      <c r="G32" s="14"/>
      <c r="H32" s="3"/>
      <c r="I32" s="3"/>
      <c r="J32" s="3"/>
      <c r="K32" s="5"/>
      <c r="L32" s="5"/>
      <c r="M32" s="5"/>
    </row>
    <row r="33" spans="3:13" x14ac:dyDescent="0.55000000000000004">
      <c r="C33" s="3"/>
      <c r="D33" s="3"/>
      <c r="E33" s="9"/>
      <c r="F33" s="3"/>
      <c r="G33" s="14"/>
      <c r="H33" s="3"/>
      <c r="I33" s="3"/>
      <c r="J33" s="3"/>
      <c r="K33" s="5"/>
      <c r="L33" s="5"/>
      <c r="M33" s="5"/>
    </row>
    <row r="34" spans="3:13" x14ac:dyDescent="0.55000000000000004">
      <c r="C34" s="3"/>
      <c r="D34" s="3"/>
      <c r="E34" s="9"/>
      <c r="F34" s="3"/>
      <c r="G34" s="14"/>
      <c r="H34" s="3"/>
      <c r="I34" s="3"/>
      <c r="J34" s="3"/>
      <c r="K34" s="5"/>
      <c r="L34" s="5"/>
      <c r="M34" s="5"/>
    </row>
    <row r="35" spans="3:13" x14ac:dyDescent="0.55000000000000004">
      <c r="C35" s="3"/>
      <c r="D35" s="3"/>
      <c r="E35" s="9"/>
      <c r="F35" s="3"/>
      <c r="G35" s="14"/>
      <c r="H35" s="3"/>
      <c r="I35" s="3"/>
      <c r="J35" s="3"/>
      <c r="K35" s="5"/>
      <c r="L35" s="5"/>
      <c r="M35" s="5"/>
    </row>
    <row r="36" spans="3:13" x14ac:dyDescent="0.55000000000000004">
      <c r="C36" s="3"/>
      <c r="D36" s="3"/>
      <c r="E36" s="9"/>
      <c r="F36" s="3"/>
      <c r="G36" s="14"/>
      <c r="H36" s="3"/>
      <c r="I36" s="3"/>
      <c r="J36" s="3"/>
      <c r="K36" s="5"/>
      <c r="L36" s="5"/>
      <c r="M36" s="5"/>
    </row>
    <row r="37" spans="3:13" x14ac:dyDescent="0.55000000000000004">
      <c r="C37" s="3"/>
      <c r="D37" s="3"/>
      <c r="E37" s="9"/>
      <c r="F37" s="3"/>
      <c r="G37" s="14"/>
      <c r="H37" s="3"/>
      <c r="I37" s="3"/>
      <c r="J37" s="3"/>
      <c r="K37" s="5"/>
      <c r="L37" s="5"/>
      <c r="M37" s="5"/>
    </row>
    <row r="38" spans="3:13" x14ac:dyDescent="0.55000000000000004">
      <c r="C38" s="3"/>
      <c r="D38" s="3"/>
      <c r="E38" s="9"/>
      <c r="F38" s="3"/>
      <c r="G38" s="14"/>
      <c r="H38" s="3"/>
      <c r="I38" s="3"/>
      <c r="J38" s="3"/>
      <c r="K38" s="5"/>
      <c r="L38" s="5"/>
      <c r="M38" s="5"/>
    </row>
    <row r="39" spans="3:13" x14ac:dyDescent="0.55000000000000004">
      <c r="C39" s="3"/>
      <c r="D39" s="3"/>
      <c r="E39" s="9"/>
      <c r="F39" s="3"/>
      <c r="G39" s="14"/>
      <c r="H39" s="3"/>
      <c r="I39" s="3"/>
      <c r="J39" s="3"/>
      <c r="K39" s="5"/>
      <c r="L39" s="5"/>
      <c r="M39" s="5"/>
    </row>
    <row r="40" spans="3:13" x14ac:dyDescent="0.55000000000000004">
      <c r="C40" s="3"/>
      <c r="D40" s="3"/>
      <c r="E40" s="9"/>
      <c r="F40" s="3"/>
      <c r="G40" s="14"/>
      <c r="H40" s="3"/>
      <c r="I40" s="3"/>
      <c r="J40" s="3"/>
      <c r="K40" s="5"/>
      <c r="L40" s="5"/>
      <c r="M40" s="5"/>
    </row>
    <row r="41" spans="3:13" x14ac:dyDescent="0.55000000000000004">
      <c r="C41" s="3"/>
      <c r="D41" s="3"/>
      <c r="E41" s="9"/>
      <c r="F41" s="3"/>
      <c r="G41" s="9"/>
      <c r="H41" s="3"/>
      <c r="I41" s="3"/>
      <c r="J41" s="3"/>
      <c r="K41" s="5"/>
      <c r="L41" s="5"/>
      <c r="M41" s="5"/>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 first</vt:lpstr>
      <vt:lpstr>pretax results</vt:lpstr>
      <vt:lpstr>after-tax liquidation value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McQuarrie</dc:creator>
  <cp:lastModifiedBy>Edward McQuarrie</cp:lastModifiedBy>
  <dcterms:created xsi:type="dcterms:W3CDTF">2021-06-03T22:46:56Z</dcterms:created>
  <dcterms:modified xsi:type="dcterms:W3CDTF">2021-06-14T22:54:33Z</dcterms:modified>
</cp:coreProperties>
</file>